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drawings/drawing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9.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0.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1.xml" ContentType="application/vnd.openxmlformats-officedocument.themeOverrid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Yenny Hernandez\Desktop\Laboratorio\Documentos RT\"/>
    </mc:Choice>
  </mc:AlternateContent>
  <workbookProtection workbookAlgorithmName="SHA-512" workbookHashValue="DPZzLaN1s5ZASYYKS+DYUlqmGw4EwpdRSD1S9StcvOA7f6fhb/hE3Dc7GCz6tuGprZGLCPKPDJ0Q7/PsOgg5PA==" workbookSaltValue="ylGdHAMtRKA72gQMMUQabQ==" workbookSpinCount="100000" lockStructure="1"/>
  <bookViews>
    <workbookView xWindow="0" yWindow="0" windowWidth="17970" windowHeight="8190" tabRatio="793" firstSheet="5" activeTab="5"/>
  </bookViews>
  <sheets>
    <sheet name="DATOS 1" sheetId="27" state="hidden" r:id="rId1"/>
    <sheet name="DATOS" sheetId="22" state="hidden" r:id="rId2"/>
    <sheet name="RT03-F11" sheetId="12" state="hidden" r:id="rId3"/>
    <sheet name="CALIBRACIÓN DESPUES DE AJUSTE" sheetId="19" state="hidden" r:id="rId4"/>
    <sheet name="VERIFICACIÓN DE LA ESCALA" sheetId="18" state="hidden" r:id="rId5"/>
    <sheet name="RT03-F14" sheetId="26" r:id="rId6"/>
  </sheets>
  <definedNames>
    <definedName name="_xlnm.Print_Area" localSheetId="3">'CALIBRACIÓN DESPUES DE AJUSTE'!$A$1:$Y$121</definedName>
    <definedName name="_xlnm.Print_Area" localSheetId="1">DATOS!$A$1:$T$154</definedName>
    <definedName name="_xlnm.Print_Area" localSheetId="5">'RT03-F14'!$A$1:$L$182</definedName>
    <definedName name="_xlnm.Print_Area" localSheetId="4">'VERIFICACIÓN DE LA ESCALA'!$A$1:$W$61</definedName>
    <definedName name="Beta" localSheetId="0">#REF!</definedName>
    <definedName name="Beta">#REF!</definedName>
    <definedName name="CoefictérmicaRVC" localSheetId="0">#REF!</definedName>
    <definedName name="CoefictérmicaRVC">#REF!</definedName>
    <definedName name="coefipatron" localSheetId="0">#REF!</definedName>
    <definedName name="coefipatron">#REF!</definedName>
    <definedName name="CONSECUTIVO" localSheetId="0">#REF!</definedName>
    <definedName name="CONSECUTIVO">#REF!</definedName>
    <definedName name="fabricante" localSheetId="0">#REF!</definedName>
    <definedName name="fabricante">#REF!</definedName>
    <definedName name="FECHACALIBRACION" localSheetId="0">#REF!</definedName>
    <definedName name="FECHACALIBRACION">#REF!</definedName>
    <definedName name="GammaRS" localSheetId="0">#REF!</definedName>
    <definedName name="GammaRS">#REF!</definedName>
    <definedName name="GammaSCM" localSheetId="0">#REF!</definedName>
    <definedName name="GammaSCM">#REF!</definedName>
    <definedName name="IDENTIFICACION" localSheetId="0">#REF!</definedName>
    <definedName name="IDENTIFICACION">#REF!</definedName>
    <definedName name="METROLOGO" localSheetId="0">#REF!</definedName>
    <definedName name="METROLOGO">#REF!</definedName>
    <definedName name="mL_a_gal" localSheetId="0">#REF!</definedName>
    <definedName name="mL_a_gal">#REF!</definedName>
    <definedName name="mL_a_in3" localSheetId="0">#REF!</definedName>
    <definedName name="mL_a_in3">#REF!</definedName>
    <definedName name="Modelo" localSheetId="0">#REF!</definedName>
    <definedName name="Modelo">#REF!</definedName>
    <definedName name="Print_Area" localSheetId="3">'CALIBRACIÓN DESPUES DE AJUSTE'!$A$1:$S$121</definedName>
    <definedName name="Print_Area" localSheetId="1">DATOS!$A$1:$Z$157</definedName>
    <definedName name="Print_Area" localSheetId="0">'DATOS 1'!$A$1:$Z$121</definedName>
    <definedName name="Print_Area" localSheetId="2">'RT03-F11'!$A$1:$S$121</definedName>
    <definedName name="Print_Area" localSheetId="5">'RT03-F14'!$A$1:$L$177</definedName>
    <definedName name="Print_Area" localSheetId="4">'VERIFICACIÓN DE LA ESCALA'!$A$1:$V$60</definedName>
    <definedName name="Print_Titles" localSheetId="3">'CALIBRACIÓN DESPUES DE AJUSTE'!$1:$1</definedName>
    <definedName name="Print_Titles" localSheetId="1">DATOS!$1:$1</definedName>
    <definedName name="Print_Titles" localSheetId="0">'DATOS 1'!$1:$1</definedName>
    <definedName name="Print_Titles" localSheetId="2">'RT03-F11'!$1:$1</definedName>
    <definedName name="Print_Titles" localSheetId="4">'VERIFICACIÓN DE LA ESCALA'!$1:$1</definedName>
    <definedName name="serie" localSheetId="0">#REF!</definedName>
    <definedName name="serie">#REF!</definedName>
    <definedName name="t0RS" localSheetId="0">#REF!</definedName>
    <definedName name="t0RS">#REF!</definedName>
    <definedName name="tRS" localSheetId="0">#REF!</definedName>
    <definedName name="tRS">#REF!</definedName>
    <definedName name="tSCM" localSheetId="0">#REF!</definedName>
    <definedName name="tSCM">#REF!</definedName>
    <definedName name="Urvc" localSheetId="0">#REF!</definedName>
    <definedName name="Urvc">#REF!</definedName>
    <definedName name="Vo" localSheetId="0">#REF!</definedName>
    <definedName name="Vo">#REF!</definedName>
    <definedName name="Vrvc" localSheetId="0">#REF!</definedName>
    <definedName name="Vrvc">#REF!</definedName>
  </definedNames>
  <calcPr calcId="152511"/>
</workbook>
</file>

<file path=xl/calcChain.xml><?xml version="1.0" encoding="utf-8"?>
<calcChain xmlns="http://schemas.openxmlformats.org/spreadsheetml/2006/main">
  <c r="H135" i="26" l="1"/>
  <c r="H134" i="26"/>
  <c r="H133" i="26"/>
  <c r="H129" i="26"/>
  <c r="H128" i="26"/>
  <c r="H127" i="26"/>
  <c r="L19" i="18"/>
  <c r="L20" i="18"/>
  <c r="L21" i="18"/>
  <c r="Q52" i="19"/>
  <c r="Q50" i="19"/>
  <c r="R27" i="19"/>
  <c r="R26" i="19"/>
  <c r="R25" i="19"/>
  <c r="R24" i="19"/>
  <c r="R23" i="19"/>
  <c r="N113" i="19"/>
  <c r="E113" i="19" l="1"/>
  <c r="K66" i="12" l="1"/>
  <c r="D40" i="19" l="1"/>
  <c r="D35" i="12"/>
  <c r="M3" i="12" l="1"/>
  <c r="P3" i="18" l="1"/>
  <c r="M3" i="18"/>
  <c r="J3" i="18"/>
  <c r="G3" i="18"/>
  <c r="D3" i="18"/>
  <c r="B3" i="18"/>
  <c r="P3" i="19"/>
  <c r="G3" i="19"/>
  <c r="M3" i="19"/>
  <c r="J3" i="19"/>
  <c r="D3" i="19"/>
  <c r="B3" i="19"/>
  <c r="J3" i="12"/>
  <c r="D3" i="12"/>
  <c r="B3" i="12"/>
  <c r="P3" i="12"/>
  <c r="G3" i="12"/>
  <c r="I15" i="22" l="1"/>
  <c r="A165" i="26" l="1"/>
  <c r="H139" i="26"/>
  <c r="H101" i="26"/>
  <c r="E23" i="26"/>
  <c r="E21" i="26"/>
  <c r="H12" i="26"/>
  <c r="I6" i="26"/>
  <c r="I139" i="26" s="1"/>
  <c r="D10" i="26"/>
  <c r="D9" i="26"/>
  <c r="D8" i="26"/>
  <c r="I59" i="26" l="1"/>
  <c r="N52" i="12"/>
  <c r="M26" i="22" l="1"/>
  <c r="G44" i="18" l="1"/>
  <c r="O35" i="19" l="1"/>
  <c r="P35" i="19" s="1"/>
  <c r="O34" i="19"/>
  <c r="P34" i="19" s="1"/>
  <c r="O33" i="19"/>
  <c r="P33" i="19" s="1"/>
  <c r="R96" i="22"/>
  <c r="Q96" i="22"/>
  <c r="P96" i="22"/>
  <c r="R85" i="22"/>
  <c r="Q85" i="22"/>
  <c r="P85" i="22"/>
  <c r="R74" i="22"/>
  <c r="Q74" i="22"/>
  <c r="P74" i="22"/>
  <c r="R63" i="22"/>
  <c r="Q63" i="22"/>
  <c r="P63" i="22"/>
  <c r="R53" i="22"/>
  <c r="Q53" i="22"/>
  <c r="P53" i="22"/>
  <c r="H31" i="27" l="1"/>
  <c r="K26" i="27"/>
  <c r="I26" i="27"/>
  <c r="K25" i="27"/>
  <c r="K15" i="27"/>
  <c r="I15" i="27"/>
  <c r="J41" i="12" l="1"/>
  <c r="J42" i="12"/>
  <c r="J43" i="12"/>
  <c r="J44" i="12"/>
  <c r="J40" i="12"/>
  <c r="D40" i="12"/>
  <c r="D41" i="12"/>
  <c r="D42" i="12"/>
  <c r="D43" i="12"/>
  <c r="D44" i="12"/>
  <c r="G113" i="19" l="1"/>
  <c r="E107" i="19"/>
  <c r="E107" i="12" l="1"/>
  <c r="G113" i="12"/>
  <c r="J41" i="19" l="1"/>
  <c r="J42" i="19"/>
  <c r="J40" i="19"/>
  <c r="D41" i="19"/>
  <c r="K52" i="19" s="1"/>
  <c r="D42" i="19"/>
  <c r="M45" i="12"/>
  <c r="D98" i="12" s="1"/>
  <c r="G45" i="12"/>
  <c r="O66" i="12" s="1"/>
  <c r="M41" i="12"/>
  <c r="M42" i="12"/>
  <c r="M43" i="12"/>
  <c r="M44" i="12"/>
  <c r="M40" i="12"/>
  <c r="K21" i="18"/>
  <c r="F31" i="19"/>
  <c r="F30" i="19"/>
  <c r="F29" i="19"/>
  <c r="E106" i="19" s="1"/>
  <c r="F28" i="19"/>
  <c r="F27" i="19"/>
  <c r="F26" i="19"/>
  <c r="F25" i="19"/>
  <c r="P76" i="19" s="1"/>
  <c r="F24" i="19"/>
  <c r="F23" i="19"/>
  <c r="F22" i="19"/>
  <c r="F31" i="12"/>
  <c r="F30" i="12"/>
  <c r="F29" i="12"/>
  <c r="E106" i="12" s="1"/>
  <c r="H106" i="12" s="1"/>
  <c r="F28" i="12"/>
  <c r="F27" i="12"/>
  <c r="F26" i="12"/>
  <c r="F25" i="12"/>
  <c r="A127" i="26" s="1"/>
  <c r="A133" i="26" s="1"/>
  <c r="F24" i="12"/>
  <c r="F23" i="12"/>
  <c r="F22" i="12"/>
  <c r="I152" i="26"/>
  <c r="A21" i="26"/>
  <c r="G41" i="19"/>
  <c r="G42" i="19"/>
  <c r="M41" i="19"/>
  <c r="M42" i="19"/>
  <c r="M40" i="19"/>
  <c r="G40" i="19"/>
  <c r="G41" i="12"/>
  <c r="G42" i="12"/>
  <c r="G43" i="12"/>
  <c r="G44" i="12"/>
  <c r="G40" i="12"/>
  <c r="B15" i="12"/>
  <c r="A8" i="18" s="1"/>
  <c r="D120" i="26"/>
  <c r="I15" i="12"/>
  <c r="F8" i="18" s="1"/>
  <c r="E43" i="18" s="1"/>
  <c r="O15" i="12"/>
  <c r="G8" i="18" s="1"/>
  <c r="G43" i="18" s="1"/>
  <c r="O21" i="18"/>
  <c r="N21" i="18"/>
  <c r="O20" i="18"/>
  <c r="P20" i="18" s="1"/>
  <c r="N20" i="18"/>
  <c r="D12" i="18"/>
  <c r="K28" i="18" s="1"/>
  <c r="J44" i="18" s="1"/>
  <c r="C15" i="12"/>
  <c r="C8" i="18" s="1"/>
  <c r="R11" i="18" s="1"/>
  <c r="I43" i="18"/>
  <c r="E15" i="12"/>
  <c r="D8" i="18" s="1"/>
  <c r="E44" i="18" s="1"/>
  <c r="B8" i="18"/>
  <c r="Q11" i="18" s="1"/>
  <c r="G15" i="12"/>
  <c r="E8" i="18" s="1"/>
  <c r="I7" i="19"/>
  <c r="E85" i="19" s="1"/>
  <c r="O7" i="19"/>
  <c r="G85" i="19" s="1"/>
  <c r="G9" i="19"/>
  <c r="G12" i="19"/>
  <c r="P72" i="19"/>
  <c r="D29" i="19"/>
  <c r="O70" i="19" s="1"/>
  <c r="D25" i="19"/>
  <c r="O68" i="19" s="1"/>
  <c r="K53" i="19"/>
  <c r="C7" i="19"/>
  <c r="O62" i="19" s="1"/>
  <c r="I9" i="19"/>
  <c r="E95" i="19" s="1"/>
  <c r="O9" i="19"/>
  <c r="G95" i="19" s="1"/>
  <c r="O12" i="19"/>
  <c r="G100" i="19" s="1"/>
  <c r="I13" i="19"/>
  <c r="K13" i="19" s="1"/>
  <c r="E101" i="19" s="1"/>
  <c r="D12" i="26"/>
  <c r="E9" i="19"/>
  <c r="E94" i="19" s="1"/>
  <c r="E12" i="19"/>
  <c r="E99" i="19" s="1"/>
  <c r="C7" i="12"/>
  <c r="O64" i="12" s="1"/>
  <c r="E113" i="12" s="1"/>
  <c r="H113" i="12" s="1"/>
  <c r="L113" i="12" s="1"/>
  <c r="N113" i="12" s="1"/>
  <c r="G9" i="12"/>
  <c r="G12" i="12"/>
  <c r="E9" i="12"/>
  <c r="E94" i="12" s="1"/>
  <c r="D32" i="19"/>
  <c r="F32" i="19" s="1"/>
  <c r="I14" i="19"/>
  <c r="E89" i="19" s="1"/>
  <c r="E14" i="19"/>
  <c r="E90" i="19" s="1"/>
  <c r="P18" i="19"/>
  <c r="O18" i="19"/>
  <c r="I18" i="19"/>
  <c r="K18" i="19" s="1"/>
  <c r="G18" i="19"/>
  <c r="E18" i="19"/>
  <c r="C18" i="19"/>
  <c r="B18" i="19"/>
  <c r="P17" i="19"/>
  <c r="O17" i="19"/>
  <c r="I17" i="19"/>
  <c r="K17" i="19" s="1"/>
  <c r="G17" i="19"/>
  <c r="E17" i="19"/>
  <c r="C17" i="19"/>
  <c r="B17" i="19"/>
  <c r="P15" i="19"/>
  <c r="O15" i="19"/>
  <c r="I15" i="19"/>
  <c r="K15" i="19" s="1"/>
  <c r="G15" i="19"/>
  <c r="E15" i="19"/>
  <c r="C15" i="19"/>
  <c r="B15" i="19"/>
  <c r="P14" i="19"/>
  <c r="O14" i="19"/>
  <c r="G89" i="19" s="1"/>
  <c r="G14" i="19"/>
  <c r="C14" i="19"/>
  <c r="D88" i="19" s="1"/>
  <c r="B14" i="19"/>
  <c r="I8" i="19"/>
  <c r="K8" i="19" s="1"/>
  <c r="O8" i="19"/>
  <c r="I10" i="19"/>
  <c r="K10" i="19" s="1"/>
  <c r="Q112" i="19"/>
  <c r="D29" i="12"/>
  <c r="O72" i="12" s="1"/>
  <c r="D25" i="12"/>
  <c r="O70" i="12" s="1"/>
  <c r="K51" i="12"/>
  <c r="K24" i="12"/>
  <c r="G179" i="26"/>
  <c r="B179" i="26"/>
  <c r="B178" i="26"/>
  <c r="D30" i="19"/>
  <c r="D31" i="19"/>
  <c r="G112" i="19"/>
  <c r="G111" i="19"/>
  <c r="G110" i="19"/>
  <c r="I12" i="19"/>
  <c r="K12" i="19" s="1"/>
  <c r="I11" i="19"/>
  <c r="K11" i="19" s="1"/>
  <c r="P12" i="19"/>
  <c r="P13" i="19"/>
  <c r="O13" i="19"/>
  <c r="G13" i="19"/>
  <c r="E13" i="19"/>
  <c r="C12" i="19"/>
  <c r="C13" i="19"/>
  <c r="P11" i="19"/>
  <c r="O11" i="19"/>
  <c r="G11" i="19"/>
  <c r="E11" i="19"/>
  <c r="C11" i="19"/>
  <c r="B11" i="19"/>
  <c r="B12" i="19"/>
  <c r="B13" i="19"/>
  <c r="P10" i="19"/>
  <c r="O10" i="19"/>
  <c r="G10" i="19"/>
  <c r="E10" i="19"/>
  <c r="C10" i="19"/>
  <c r="P9" i="19"/>
  <c r="C9" i="19"/>
  <c r="B9" i="19"/>
  <c r="P8" i="19"/>
  <c r="G8" i="19"/>
  <c r="E8" i="19"/>
  <c r="C8" i="19"/>
  <c r="B10" i="19"/>
  <c r="B8" i="19"/>
  <c r="P7" i="12"/>
  <c r="O7" i="12"/>
  <c r="G85" i="12" s="1"/>
  <c r="I7" i="12"/>
  <c r="E85" i="12" s="1"/>
  <c r="E7" i="12"/>
  <c r="B7" i="12"/>
  <c r="P7" i="19"/>
  <c r="G7" i="19"/>
  <c r="E7" i="19"/>
  <c r="B7" i="19"/>
  <c r="K23" i="12"/>
  <c r="K26" i="12"/>
  <c r="L23" i="12"/>
  <c r="M24" i="12" s="1"/>
  <c r="C128" i="26" s="1"/>
  <c r="C134" i="26" s="1"/>
  <c r="C129" i="26"/>
  <c r="C135" i="26" s="1"/>
  <c r="M26" i="12"/>
  <c r="C127" i="26" s="1"/>
  <c r="C133" i="26" s="1"/>
  <c r="K52" i="12"/>
  <c r="K53" i="12"/>
  <c r="K54" i="12"/>
  <c r="K55" i="12"/>
  <c r="G86" i="12"/>
  <c r="E8" i="12"/>
  <c r="G94" i="12"/>
  <c r="I9" i="12"/>
  <c r="E95" i="12" s="1"/>
  <c r="O8" i="12"/>
  <c r="G95" i="12" s="1"/>
  <c r="G96" i="12"/>
  <c r="E97" i="12"/>
  <c r="G97" i="12"/>
  <c r="E11" i="12"/>
  <c r="E99" i="12" s="1"/>
  <c r="G99" i="12"/>
  <c r="I12" i="12"/>
  <c r="E100" i="12" s="1"/>
  <c r="O11" i="12"/>
  <c r="G100" i="12" s="1"/>
  <c r="G101" i="12"/>
  <c r="E102" i="12"/>
  <c r="G102" i="12"/>
  <c r="G104" i="12"/>
  <c r="G106" i="12"/>
  <c r="G112" i="12"/>
  <c r="I14" i="12"/>
  <c r="E89" i="12" s="1"/>
  <c r="O14" i="12"/>
  <c r="G89" i="12" s="1"/>
  <c r="D32" i="12"/>
  <c r="E14" i="12"/>
  <c r="E90" i="12" s="1"/>
  <c r="H90" i="12" s="1"/>
  <c r="G90" i="12"/>
  <c r="G105" i="12"/>
  <c r="G107" i="12"/>
  <c r="H107" i="12" s="1"/>
  <c r="D31" i="12"/>
  <c r="G110" i="12"/>
  <c r="G111" i="12"/>
  <c r="L26" i="12"/>
  <c r="Q112" i="12"/>
  <c r="I119" i="26"/>
  <c r="I118" i="26"/>
  <c r="I117" i="26"/>
  <c r="B12" i="12"/>
  <c r="G119" i="26" s="1"/>
  <c r="B8" i="12"/>
  <c r="G118" i="26" s="1"/>
  <c r="D119" i="26"/>
  <c r="D118" i="26"/>
  <c r="P18" i="12"/>
  <c r="O18" i="12"/>
  <c r="I18" i="12"/>
  <c r="K18" i="12" s="1"/>
  <c r="M18" i="12" s="1"/>
  <c r="G18" i="12"/>
  <c r="E18" i="12"/>
  <c r="C18" i="12"/>
  <c r="B18" i="12"/>
  <c r="P17" i="12"/>
  <c r="O17" i="12"/>
  <c r="I17" i="12"/>
  <c r="K17" i="12" s="1"/>
  <c r="M17" i="12" s="1"/>
  <c r="G17" i="12"/>
  <c r="E17" i="12"/>
  <c r="C17" i="12"/>
  <c r="B17" i="12"/>
  <c r="P15" i="12"/>
  <c r="P14" i="12"/>
  <c r="G14" i="12"/>
  <c r="C14" i="12"/>
  <c r="D88" i="12" s="1"/>
  <c r="B14" i="12"/>
  <c r="G120" i="26" s="1"/>
  <c r="P13" i="12"/>
  <c r="O13" i="12"/>
  <c r="I13" i="12"/>
  <c r="K13" i="12" s="1"/>
  <c r="M13" i="12" s="1"/>
  <c r="G13" i="12"/>
  <c r="E13" i="12"/>
  <c r="P12" i="12"/>
  <c r="O12" i="12"/>
  <c r="E12" i="12"/>
  <c r="P11" i="12"/>
  <c r="I11" i="12"/>
  <c r="K11" i="12" s="1"/>
  <c r="M11" i="12" s="1"/>
  <c r="G11" i="12"/>
  <c r="P10" i="12"/>
  <c r="O10" i="12"/>
  <c r="I10" i="12"/>
  <c r="K10" i="12" s="1"/>
  <c r="M10" i="12" s="1"/>
  <c r="G10" i="12"/>
  <c r="E10" i="12"/>
  <c r="C10" i="12"/>
  <c r="C9" i="12"/>
  <c r="O9" i="12"/>
  <c r="P9" i="12"/>
  <c r="P8" i="12"/>
  <c r="I8" i="12"/>
  <c r="K8" i="12" s="1"/>
  <c r="M8" i="12" s="1"/>
  <c r="G8" i="12"/>
  <c r="C8" i="12"/>
  <c r="C13" i="12"/>
  <c r="C12" i="12"/>
  <c r="C11" i="12"/>
  <c r="B13" i="12"/>
  <c r="B11" i="12"/>
  <c r="B10" i="12"/>
  <c r="B9" i="12"/>
  <c r="D24" i="12"/>
  <c r="G117" i="26" s="1"/>
  <c r="D22" i="12"/>
  <c r="D117" i="26" s="1"/>
  <c r="E43" i="26"/>
  <c r="E40" i="26"/>
  <c r="D18" i="26"/>
  <c r="D17" i="26"/>
  <c r="D35" i="19"/>
  <c r="K25" i="12"/>
  <c r="J7" i="18"/>
  <c r="I19" i="18"/>
  <c r="K22" i="18" s="1"/>
  <c r="I20" i="18"/>
  <c r="J22" i="18"/>
  <c r="J21" i="18"/>
  <c r="B12" i="18"/>
  <c r="G107" i="19"/>
  <c r="H107" i="19" s="1"/>
  <c r="G106" i="19"/>
  <c r="K25" i="22"/>
  <c r="D30" i="12" s="1"/>
  <c r="G105" i="19"/>
  <c r="G104" i="19"/>
  <c r="G102" i="19"/>
  <c r="F102" i="19"/>
  <c r="G101" i="19"/>
  <c r="F101" i="19"/>
  <c r="F100" i="19"/>
  <c r="G99" i="19"/>
  <c r="F99" i="19"/>
  <c r="F98" i="19"/>
  <c r="E98" i="19"/>
  <c r="G97" i="19"/>
  <c r="F97" i="19"/>
  <c r="G96" i="19"/>
  <c r="F96" i="19"/>
  <c r="F95" i="19"/>
  <c r="G94" i="19"/>
  <c r="F91" i="19"/>
  <c r="I91" i="19" s="1"/>
  <c r="G90" i="19"/>
  <c r="F90" i="19"/>
  <c r="I90" i="19" s="1"/>
  <c r="F89" i="19"/>
  <c r="I89" i="19" s="1"/>
  <c r="G86" i="19"/>
  <c r="K86" i="19"/>
  <c r="I86" i="19"/>
  <c r="K85" i="19"/>
  <c r="D28" i="19"/>
  <c r="D27" i="19"/>
  <c r="D26" i="19"/>
  <c r="D24" i="19"/>
  <c r="D23" i="19"/>
  <c r="D22" i="19"/>
  <c r="D28" i="12"/>
  <c r="D27" i="12"/>
  <c r="D26" i="12"/>
  <c r="D23" i="12"/>
  <c r="H31" i="22"/>
  <c r="G7" i="12" s="1"/>
  <c r="K26" i="22"/>
  <c r="I26" i="22"/>
  <c r="E47" i="18"/>
  <c r="F89" i="12"/>
  <c r="I89" i="12"/>
  <c r="F91" i="12"/>
  <c r="I91" i="12" s="1"/>
  <c r="F90" i="12"/>
  <c r="I90" i="12" s="1"/>
  <c r="G48" i="18"/>
  <c r="J47" i="18"/>
  <c r="I45" i="18"/>
  <c r="I49" i="18" s="1"/>
  <c r="I47" i="18"/>
  <c r="G47" i="18"/>
  <c r="H47" i="18" s="1"/>
  <c r="L47" i="18" s="1"/>
  <c r="N47" i="18" s="1"/>
  <c r="J45" i="18"/>
  <c r="G45" i="18"/>
  <c r="E45" i="18"/>
  <c r="H45" i="18"/>
  <c r="I44" i="18"/>
  <c r="F19" i="18"/>
  <c r="F20" i="18"/>
  <c r="V20" i="18"/>
  <c r="V19" i="18"/>
  <c r="V18" i="18"/>
  <c r="D44" i="18" s="1"/>
  <c r="I12" i="18"/>
  <c r="I48" i="18"/>
  <c r="F102" i="12"/>
  <c r="F101" i="12"/>
  <c r="F100" i="12"/>
  <c r="F99" i="12"/>
  <c r="F98" i="12"/>
  <c r="F97" i="12"/>
  <c r="F96" i="12"/>
  <c r="F95" i="12"/>
  <c r="K86" i="12"/>
  <c r="I86" i="12"/>
  <c r="K85" i="12"/>
  <c r="O35" i="12"/>
  <c r="P35" i="12" s="1"/>
  <c r="O34" i="12"/>
  <c r="P34" i="12" s="1"/>
  <c r="O33" i="12"/>
  <c r="P33" i="12" s="1"/>
  <c r="K27" i="12"/>
  <c r="L27" i="12"/>
  <c r="M25" i="12"/>
  <c r="L25" i="12"/>
  <c r="M27" i="12"/>
  <c r="J19" i="18"/>
  <c r="K20" i="18" s="1"/>
  <c r="K51" i="19"/>
  <c r="L45" i="18" l="1"/>
  <c r="N45" i="18" s="1"/>
  <c r="P21" i="18"/>
  <c r="C22" i="18"/>
  <c r="M43" i="19"/>
  <c r="P66" i="19" s="1"/>
  <c r="K70" i="19" s="1"/>
  <c r="J106" i="19" s="1"/>
  <c r="D93" i="12"/>
  <c r="A129" i="26"/>
  <c r="A135" i="26" s="1"/>
  <c r="K9" i="19"/>
  <c r="E96" i="19" s="1"/>
  <c r="H96" i="19" s="1"/>
  <c r="C21" i="18"/>
  <c r="E48" i="18" s="1"/>
  <c r="H48" i="18" s="1"/>
  <c r="L48" i="18" s="1"/>
  <c r="N48" i="18" s="1"/>
  <c r="H99" i="19"/>
  <c r="H90" i="19"/>
  <c r="H94" i="19"/>
  <c r="H106" i="19"/>
  <c r="H101" i="19"/>
  <c r="P74" i="12"/>
  <c r="O26" i="19"/>
  <c r="O27" i="19" s="1"/>
  <c r="K7" i="19"/>
  <c r="E86" i="19" s="1"/>
  <c r="H86" i="19" s="1"/>
  <c r="D84" i="19"/>
  <c r="A128" i="26"/>
  <c r="A134" i="26" s="1"/>
  <c r="P78" i="12"/>
  <c r="H102" i="12"/>
  <c r="H94" i="12"/>
  <c r="Q21" i="18"/>
  <c r="O18" i="18"/>
  <c r="M20" i="18" s="1"/>
  <c r="T12" i="18" s="1"/>
  <c r="U12" i="18" s="1"/>
  <c r="V12" i="18" s="1"/>
  <c r="K14" i="12"/>
  <c r="E91" i="12" s="1"/>
  <c r="B106" i="26"/>
  <c r="E110" i="19"/>
  <c r="H110" i="19" s="1"/>
  <c r="L110" i="19" s="1"/>
  <c r="N110" i="19" s="1"/>
  <c r="J107" i="19"/>
  <c r="L107" i="19" s="1"/>
  <c r="N107" i="19" s="1"/>
  <c r="E105" i="19"/>
  <c r="H105" i="19" s="1"/>
  <c r="D99" i="12"/>
  <c r="K26" i="18"/>
  <c r="O24" i="19"/>
  <c r="K7" i="12"/>
  <c r="E86" i="12" s="1"/>
  <c r="H86" i="12" s="1"/>
  <c r="K30" i="18"/>
  <c r="K32" i="18" s="1"/>
  <c r="H95" i="19"/>
  <c r="K80" i="19"/>
  <c r="E100" i="19"/>
  <c r="H100" i="19" s="1"/>
  <c r="K14" i="19"/>
  <c r="D84" i="12"/>
  <c r="G106" i="26"/>
  <c r="H85" i="19"/>
  <c r="P68" i="12"/>
  <c r="H99" i="12"/>
  <c r="E110" i="12"/>
  <c r="H110" i="12" s="1"/>
  <c r="L110" i="12" s="1"/>
  <c r="N110" i="12" s="1"/>
  <c r="E111" i="12"/>
  <c r="H111" i="12" s="1"/>
  <c r="L111" i="12" s="1"/>
  <c r="N111" i="12" s="1"/>
  <c r="E111" i="19"/>
  <c r="H111" i="19" s="1"/>
  <c r="L111" i="19" s="1"/>
  <c r="N111" i="19" s="1"/>
  <c r="H97" i="12"/>
  <c r="K54" i="19"/>
  <c r="D33" i="19" s="1"/>
  <c r="H89" i="19"/>
  <c r="K15" i="12"/>
  <c r="M15" i="12" s="1"/>
  <c r="G55" i="12"/>
  <c r="H55" i="12" s="1"/>
  <c r="G54" i="12"/>
  <c r="H54" i="12" s="1"/>
  <c r="G53" i="12"/>
  <c r="H53" i="12" s="1"/>
  <c r="G52" i="12"/>
  <c r="H52" i="12" s="1"/>
  <c r="G43" i="19"/>
  <c r="K9" i="12"/>
  <c r="K12" i="12"/>
  <c r="E101" i="12" s="1"/>
  <c r="H101" i="12" s="1"/>
  <c r="K80" i="12"/>
  <c r="J89" i="12" s="1"/>
  <c r="F32" i="12"/>
  <c r="H85" i="12"/>
  <c r="E102" i="19"/>
  <c r="H102" i="19" s="1"/>
  <c r="D99" i="19"/>
  <c r="E97" i="19"/>
  <c r="H97" i="19" s="1"/>
  <c r="E98" i="12"/>
  <c r="G51" i="12"/>
  <c r="H51" i="12" s="1"/>
  <c r="O26" i="12"/>
  <c r="O27" i="12" s="1"/>
  <c r="D106" i="26"/>
  <c r="H89" i="12"/>
  <c r="E105" i="12"/>
  <c r="H105" i="12" s="1"/>
  <c r="J107" i="12"/>
  <c r="L107" i="12" s="1"/>
  <c r="N107" i="12" s="1"/>
  <c r="K68" i="12"/>
  <c r="J105" i="12" s="1"/>
  <c r="K72" i="12"/>
  <c r="J104" i="12" s="1"/>
  <c r="K56" i="12"/>
  <c r="D33" i="12" s="1"/>
  <c r="E104" i="12" s="1"/>
  <c r="H104" i="12" s="1"/>
  <c r="E93" i="12"/>
  <c r="H43" i="18"/>
  <c r="D43" i="18"/>
  <c r="H100" i="12"/>
  <c r="H95" i="12"/>
  <c r="G53" i="19"/>
  <c r="H53" i="19" s="1"/>
  <c r="G51" i="19"/>
  <c r="H51" i="19" s="1"/>
  <c r="G52" i="19"/>
  <c r="H52" i="19" s="1"/>
  <c r="I101" i="26"/>
  <c r="D98" i="19" l="1"/>
  <c r="K70" i="12"/>
  <c r="J106" i="12" s="1"/>
  <c r="L106" i="12" s="1"/>
  <c r="N106" i="12" s="1"/>
  <c r="G91" i="12"/>
  <c r="H91" i="12" s="1"/>
  <c r="L106" i="19"/>
  <c r="N106" i="19" s="1"/>
  <c r="M19" i="18"/>
  <c r="T11" i="18" s="1"/>
  <c r="U11" i="18" s="1"/>
  <c r="V11" i="18" s="1"/>
  <c r="M21" i="18"/>
  <c r="T13" i="18" s="1"/>
  <c r="U13" i="18" s="1"/>
  <c r="V13" i="18" s="1"/>
  <c r="O25" i="19"/>
  <c r="O23" i="19"/>
  <c r="M14" i="12"/>
  <c r="M7" i="12"/>
  <c r="J91" i="12"/>
  <c r="L91" i="12" s="1"/>
  <c r="N91" i="12" s="1"/>
  <c r="L89" i="12"/>
  <c r="N89" i="12" s="1"/>
  <c r="M12" i="12"/>
  <c r="J90" i="12"/>
  <c r="L90" i="12" s="1"/>
  <c r="N90" i="12" s="1"/>
  <c r="J91" i="19"/>
  <c r="J89" i="19"/>
  <c r="L89" i="19" s="1"/>
  <c r="N89" i="19" s="1"/>
  <c r="J90" i="19"/>
  <c r="L90" i="19" s="1"/>
  <c r="N90" i="19" s="1"/>
  <c r="G91" i="19"/>
  <c r="E91" i="19"/>
  <c r="O76" i="12"/>
  <c r="E103" i="12"/>
  <c r="D103" i="12"/>
  <c r="H56" i="12"/>
  <c r="H57" i="12"/>
  <c r="E96" i="12"/>
  <c r="H96" i="12" s="1"/>
  <c r="M9" i="12"/>
  <c r="O64" i="19"/>
  <c r="D93" i="19"/>
  <c r="E93" i="19"/>
  <c r="E104" i="19"/>
  <c r="H104" i="19" s="1"/>
  <c r="E103" i="19"/>
  <c r="O74" i="19"/>
  <c r="D103" i="19"/>
  <c r="F33" i="19"/>
  <c r="P74" i="19" s="1"/>
  <c r="O24" i="12"/>
  <c r="O25" i="12"/>
  <c r="O23" i="12"/>
  <c r="L104" i="12"/>
  <c r="N104" i="12" s="1"/>
  <c r="L105" i="12"/>
  <c r="N105" i="12" s="1"/>
  <c r="F33" i="12"/>
  <c r="P76" i="12" s="1"/>
  <c r="L43" i="18"/>
  <c r="N43" i="18" s="1"/>
  <c r="H44" i="18"/>
  <c r="L44" i="18" s="1"/>
  <c r="N44" i="18" s="1"/>
  <c r="H54" i="19"/>
  <c r="H55" i="19"/>
  <c r="U15" i="18" l="1"/>
  <c r="U16" i="18" s="1"/>
  <c r="U14" i="18"/>
  <c r="D42" i="18" s="1"/>
  <c r="H91" i="19"/>
  <c r="L91" i="19" s="1"/>
  <c r="N91" i="19" s="1"/>
  <c r="K64" i="12"/>
  <c r="K62" i="12"/>
  <c r="K64" i="19"/>
  <c r="K66" i="19"/>
  <c r="H58" i="12"/>
  <c r="E112" i="12"/>
  <c r="H112" i="12" s="1"/>
  <c r="L112" i="12" s="1"/>
  <c r="H113" i="19"/>
  <c r="L113" i="19" s="1"/>
  <c r="K62" i="19"/>
  <c r="K68" i="19"/>
  <c r="J105" i="19" s="1"/>
  <c r="L105" i="19" s="1"/>
  <c r="N105" i="19" s="1"/>
  <c r="K72" i="19"/>
  <c r="J104" i="19" s="1"/>
  <c r="L104" i="19" s="1"/>
  <c r="N104" i="19" s="1"/>
  <c r="P26" i="12"/>
  <c r="C117" i="12"/>
  <c r="V15" i="18"/>
  <c r="V16" i="18" s="1"/>
  <c r="H49" i="18" s="1"/>
  <c r="L49" i="18" s="1"/>
  <c r="N49" i="18" s="1"/>
  <c r="N50" i="18" s="1"/>
  <c r="V14" i="18"/>
  <c r="C56" i="18" s="1"/>
  <c r="C57" i="18" s="1"/>
  <c r="E112" i="19"/>
  <c r="H112" i="19" s="1"/>
  <c r="L112" i="19" s="1"/>
  <c r="H56" i="19"/>
  <c r="P26" i="19"/>
  <c r="C117" i="19"/>
  <c r="F133" i="26" s="1"/>
  <c r="F139" i="26" s="1"/>
  <c r="D56" i="18" l="1"/>
  <c r="F56" i="18" s="1"/>
  <c r="P27" i="12"/>
  <c r="Q27" i="12" s="1"/>
  <c r="R27" i="12" s="1"/>
  <c r="Q26" i="12"/>
  <c r="R26" i="12" s="1"/>
  <c r="Q50" i="12" s="1"/>
  <c r="J85" i="12"/>
  <c r="L85" i="12" s="1"/>
  <c r="N85" i="12" s="1"/>
  <c r="J86" i="12"/>
  <c r="L86" i="12" s="1"/>
  <c r="N86" i="12" s="1"/>
  <c r="J101" i="12"/>
  <c r="L101" i="12" s="1"/>
  <c r="N101" i="12" s="1"/>
  <c r="J102" i="12"/>
  <c r="L102" i="12" s="1"/>
  <c r="N102" i="12" s="1"/>
  <c r="J100" i="12"/>
  <c r="L100" i="12" s="1"/>
  <c r="N100" i="12" s="1"/>
  <c r="J99" i="12"/>
  <c r="L99" i="12" s="1"/>
  <c r="N99" i="12" s="1"/>
  <c r="J94" i="12"/>
  <c r="L94" i="12" s="1"/>
  <c r="N94" i="12" s="1"/>
  <c r="J96" i="12"/>
  <c r="L96" i="12" s="1"/>
  <c r="N96" i="12" s="1"/>
  <c r="J97" i="12"/>
  <c r="L97" i="12" s="1"/>
  <c r="N97" i="12" s="1"/>
  <c r="J95" i="12"/>
  <c r="L95" i="12" s="1"/>
  <c r="N95" i="12" s="1"/>
  <c r="J85" i="19"/>
  <c r="L85" i="19" s="1"/>
  <c r="N85" i="19" s="1"/>
  <c r="J86" i="19"/>
  <c r="L86" i="19" s="1"/>
  <c r="N86" i="19" s="1"/>
  <c r="P25" i="12"/>
  <c r="Q25" i="12" s="1"/>
  <c r="R25" i="12" s="1"/>
  <c r="P24" i="12"/>
  <c r="Q24" i="12" s="1"/>
  <c r="R24" i="12" s="1"/>
  <c r="Q53" i="12" s="1"/>
  <c r="P23" i="12"/>
  <c r="Q23" i="12" s="1"/>
  <c r="R23" i="12" s="1"/>
  <c r="J102" i="19"/>
  <c r="L102" i="19" s="1"/>
  <c r="N102" i="19" s="1"/>
  <c r="J100" i="19"/>
  <c r="L100" i="19" s="1"/>
  <c r="N100" i="19" s="1"/>
  <c r="J101" i="19"/>
  <c r="L101" i="19" s="1"/>
  <c r="N101" i="19" s="1"/>
  <c r="J99" i="19"/>
  <c r="L99" i="19" s="1"/>
  <c r="N99" i="19" s="1"/>
  <c r="J94" i="19"/>
  <c r="L94" i="19" s="1"/>
  <c r="N94" i="19" s="1"/>
  <c r="J97" i="19"/>
  <c r="L97" i="19" s="1"/>
  <c r="N97" i="19" s="1"/>
  <c r="J95" i="19"/>
  <c r="L95" i="19" s="1"/>
  <c r="N95" i="19" s="1"/>
  <c r="J96" i="19"/>
  <c r="L96" i="19" s="1"/>
  <c r="N96" i="19" s="1"/>
  <c r="H117" i="12"/>
  <c r="F127" i="26"/>
  <c r="C118" i="12"/>
  <c r="N112" i="12"/>
  <c r="D57" i="18"/>
  <c r="D58" i="18" s="1"/>
  <c r="C58" i="18"/>
  <c r="H146" i="26" s="1"/>
  <c r="H145" i="26"/>
  <c r="N53" i="18"/>
  <c r="C118" i="19"/>
  <c r="H117" i="19"/>
  <c r="P27" i="19"/>
  <c r="Q27" i="19" s="1"/>
  <c r="P23" i="19"/>
  <c r="Q23" i="19" s="1"/>
  <c r="P24" i="19"/>
  <c r="Q24" i="19" s="1"/>
  <c r="P25" i="19"/>
  <c r="Q25" i="19" s="1"/>
  <c r="Q26" i="19"/>
  <c r="N112" i="19"/>
  <c r="Q51" i="12" l="1"/>
  <c r="N114" i="19"/>
  <c r="N114" i="12"/>
  <c r="D117" i="12" s="1"/>
  <c r="D118" i="12" s="1"/>
  <c r="D119" i="12" s="1"/>
  <c r="D120" i="12" s="1"/>
  <c r="F128" i="26"/>
  <c r="C119" i="12"/>
  <c r="Q54" i="12"/>
  <c r="H118" i="12"/>
  <c r="I117" i="12"/>
  <c r="P53" i="18"/>
  <c r="O53" i="18"/>
  <c r="N51" i="18" s="1"/>
  <c r="C119" i="19"/>
  <c r="F135" i="26" s="1"/>
  <c r="F134" i="26"/>
  <c r="Q51" i="19"/>
  <c r="Q53" i="19"/>
  <c r="H118" i="19"/>
  <c r="I117" i="19"/>
  <c r="D117" i="19" l="1"/>
  <c r="N115" i="19"/>
  <c r="N116" i="19"/>
  <c r="N119" i="19" s="1"/>
  <c r="N116" i="12"/>
  <c r="N119" i="12" s="1"/>
  <c r="F129" i="26"/>
  <c r="C120" i="12"/>
  <c r="H119" i="12"/>
  <c r="I118" i="12"/>
  <c r="F57" i="18"/>
  <c r="F58" i="18" s="1"/>
  <c r="I118" i="19"/>
  <c r="H119" i="19"/>
  <c r="I119" i="19" s="1"/>
  <c r="D118" i="19" l="1"/>
  <c r="F117" i="19"/>
  <c r="M119" i="19"/>
  <c r="M119" i="12"/>
  <c r="I119" i="12"/>
  <c r="H120" i="12"/>
  <c r="J146" i="26"/>
  <c r="J145" i="26"/>
  <c r="D119" i="19" l="1"/>
  <c r="F119" i="19" s="1"/>
  <c r="F118" i="19"/>
  <c r="J117" i="19"/>
  <c r="F119" i="12"/>
  <c r="I120" i="12"/>
  <c r="J119" i="19" l="1"/>
  <c r="J118" i="19"/>
  <c r="F117" i="12"/>
  <c r="J117" i="12" s="1"/>
  <c r="J119" i="12"/>
  <c r="J120" i="12" s="1"/>
  <c r="F120" i="12"/>
  <c r="F118" i="12"/>
  <c r="N115" i="12"/>
  <c r="J118" i="12" l="1"/>
</calcChain>
</file>

<file path=xl/comments1.xml><?xml version="1.0" encoding="utf-8"?>
<comments xmlns="http://schemas.openxmlformats.org/spreadsheetml/2006/main">
  <authors>
    <author>Elvis Aguirre Romero</author>
  </authors>
  <commentList>
    <comment ref="B21" authorId="0" shapeId="0">
      <text>
        <r>
          <rPr>
            <b/>
            <sz val="9"/>
            <color indexed="81"/>
            <rFont val="Tahoma"/>
            <family val="2"/>
          </rPr>
          <t>Elvis Aguirre Romero:</t>
        </r>
        <r>
          <rPr>
            <sz val="9"/>
            <color indexed="81"/>
            <rFont val="Tahoma"/>
            <family val="2"/>
          </rPr>
          <t xml:space="preserve">
Diferencia de altura</t>
        </r>
      </text>
    </comment>
  </commentList>
</comments>
</file>

<file path=xl/sharedStrings.xml><?xml version="1.0" encoding="utf-8"?>
<sst xmlns="http://schemas.openxmlformats.org/spreadsheetml/2006/main" count="1767" uniqueCount="579">
  <si>
    <t>RVC</t>
  </si>
  <si>
    <t>RVP</t>
  </si>
  <si>
    <t>Promedio</t>
  </si>
  <si>
    <t>°C</t>
  </si>
  <si>
    <t>mL</t>
  </si>
  <si>
    <t>Rectangular</t>
  </si>
  <si>
    <t>Euramet 21</t>
  </si>
  <si>
    <t>U</t>
  </si>
  <si>
    <t>E</t>
  </si>
  <si>
    <t>gal</t>
  </si>
  <si>
    <t>1/°C</t>
  </si>
  <si>
    <t>∞</t>
  </si>
  <si>
    <t xml:space="preserve"> </t>
  </si>
  <si>
    <t>cm</t>
  </si>
  <si>
    <t>NOMBRE</t>
  </si>
  <si>
    <t>CORRECCIÓN</t>
  </si>
  <si>
    <t>hPa</t>
  </si>
  <si>
    <t>Como g ej &gt; 50  =&gt;para 95%</t>
  </si>
  <si>
    <t>Euramet 19</t>
  </si>
  <si>
    <t>Certificado de calibración</t>
  </si>
  <si>
    <t>Estimación</t>
  </si>
  <si>
    <t>mL°C-1</t>
  </si>
  <si>
    <t>FINAL</t>
  </si>
  <si>
    <t>PROMEDIO</t>
  </si>
  <si>
    <t>E3</t>
  </si>
  <si>
    <t>1 litro</t>
  </si>
  <si>
    <t>1 mililitro</t>
  </si>
  <si>
    <t>Objeto:</t>
  </si>
  <si>
    <t>Fabricante.</t>
  </si>
  <si>
    <t>Número de Serie</t>
  </si>
  <si>
    <t>Fecha de recepción</t>
  </si>
  <si>
    <t>Fecha de calibración</t>
  </si>
  <si>
    <t>Temperatura</t>
  </si>
  <si>
    <t>Pipeta</t>
  </si>
  <si>
    <t>Temperatura de Referencia</t>
  </si>
  <si>
    <t>Capacidad nominal</t>
  </si>
  <si>
    <t>FIRMAS AUTORIZADAS:</t>
  </si>
  <si>
    <t>____________________________________</t>
  </si>
  <si>
    <t>Firma Autorizada</t>
  </si>
  <si>
    <t>Calibrado Por:</t>
  </si>
  <si>
    <t>Fecha de elaboración:</t>
  </si>
  <si>
    <t>Dirección</t>
  </si>
  <si>
    <t>Recipiente volumétrico metálico identificado así:</t>
  </si>
  <si>
    <t>Humedad Relativa</t>
  </si>
  <si>
    <t>Presión atmosférica</t>
  </si>
  <si>
    <t>Recipiente Volumétrico</t>
  </si>
  <si>
    <t>El recipiente fue calibrado para suministrar por el método Volumétrico usando agua potable directamente del grifo del laboratorio.</t>
  </si>
  <si>
    <t>El pre-mojado al momento de usarlo se realiza llenándolo hasta el trazo que indica su capacidad nominal y drenándolo en un tiempo mínimo total de 60 s ±10 s, incluyendo 30 segundos de escurrido, después de haber cesado el flujo principal.</t>
  </si>
  <si>
    <t>Material de construcción:</t>
  </si>
  <si>
    <t>Estado de la Superficie interna:</t>
  </si>
  <si>
    <t>Estado de la Superficie externa:</t>
  </si>
  <si>
    <t>Resolución:</t>
  </si>
  <si>
    <t>Tipo de visor</t>
  </si>
  <si>
    <t>Tipo de nivelación</t>
  </si>
  <si>
    <t>Fabricante</t>
  </si>
  <si>
    <t>Modelo</t>
  </si>
  <si>
    <t>Capacidad del RVC a la temperatura de referencia.</t>
  </si>
  <si>
    <t xml:space="preserve">Donde: </t>
  </si>
  <si>
    <t>La nivelación será proporcionada por la estructura del recipiente, sin embargo si se hace necesario se deben usar implementos que garanticen su nivelación.</t>
  </si>
  <si>
    <t>El recipiente no presenta daños superficiales.</t>
  </si>
  <si>
    <t>Capacidad Nominal en galones</t>
  </si>
  <si>
    <t>Litros</t>
  </si>
  <si>
    <t>Mililitros</t>
  </si>
  <si>
    <t xml:space="preserve">Capacidad </t>
  </si>
  <si>
    <t xml:space="preserve"> in3   ±</t>
  </si>
  <si>
    <t>Información del Cliente</t>
  </si>
  <si>
    <t>Solicitante</t>
  </si>
  <si>
    <t>Ciudad</t>
  </si>
  <si>
    <t>1.   INFORMACIÓN DEL EQUIPO SOMETIDO A CALIBRACIÓN</t>
  </si>
  <si>
    <t>4.    DESCRIPCIÓN DEL EQUIPO CALIBRADO</t>
  </si>
  <si>
    <t>Capacidad Nominal:</t>
  </si>
  <si>
    <t>0,5 in3</t>
  </si>
  <si>
    <t xml:space="preserve">Es el coeficiente de expansión térmica del material del RVP. </t>
  </si>
  <si>
    <t>Es la temperatura del líquido medida dentro del  RVP.</t>
  </si>
  <si>
    <t>Es el coeficiente de expansión térmica del agua.</t>
  </si>
  <si>
    <t>Es la temperatura del líquido medida dentro del RVC.</t>
  </si>
  <si>
    <t xml:space="preserve"> Coeficiente de expansión térmica del material del RVC.</t>
  </si>
  <si>
    <t>Temperatura de referencia en el RVC (generalmente 20°C).</t>
  </si>
  <si>
    <t xml:space="preserve">Delta respecto a la lectura del menisco </t>
  </si>
  <si>
    <t>Delta respecto a la repetibilidad de las mediciones</t>
  </si>
  <si>
    <t>Delta respecto a factores adicionales</t>
  </si>
  <si>
    <t>6.  CONDICIONES AMBIENTALES</t>
  </si>
  <si>
    <t>7.   INCERTIDUMBRE DE MEDICIÓN</t>
  </si>
  <si>
    <t>8.   TRAZABILIDAD DE LA MEDICIÓN</t>
  </si>
  <si>
    <t>Instrumento</t>
  </si>
  <si>
    <t>Tipo</t>
  </si>
  <si>
    <t>No. de Serie</t>
  </si>
  <si>
    <t>Trazabilidad</t>
  </si>
  <si>
    <t>Agua Potable</t>
  </si>
  <si>
    <t>EAAB</t>
  </si>
  <si>
    <t>9.   RESULTADOS DE LA CALIBRACIÓN</t>
  </si>
  <si>
    <t>DATOS DE LOS PATRONES</t>
  </si>
  <si>
    <t>Unidad</t>
  </si>
  <si>
    <t xml:space="preserve">Incertidumbre por Deriva </t>
  </si>
  <si>
    <t>ml</t>
  </si>
  <si>
    <t>Termómetro (RVP)</t>
  </si>
  <si>
    <t>Termómetro (RVC)</t>
  </si>
  <si>
    <t>Cronometro</t>
  </si>
  <si>
    <t>Pie de Rey</t>
  </si>
  <si>
    <t>DATOS DE LOS RECIPIENTES</t>
  </si>
  <si>
    <t>TABLA DE CONVERSIÓN</t>
  </si>
  <si>
    <t>Nombre</t>
  </si>
  <si>
    <t>Valor nominal</t>
  </si>
  <si>
    <t>Capacidad del RVP según certificado</t>
  </si>
  <si>
    <t>Volumen calculado en el RVC</t>
  </si>
  <si>
    <t>Diferencia respecto al patrón</t>
  </si>
  <si>
    <t>Serhapin test Measure</t>
  </si>
  <si>
    <t>Series "M"</t>
  </si>
  <si>
    <t>1 galón</t>
  </si>
  <si>
    <t>Hora de Inicio</t>
  </si>
  <si>
    <t>Hora final</t>
  </si>
  <si>
    <t>Temperatura de referencia</t>
  </si>
  <si>
    <t>INICIO</t>
  </si>
  <si>
    <t xml:space="preserve">División de escala  </t>
  </si>
  <si>
    <t xml:space="preserve">Coeficiente cubico de expansión térmico del agua </t>
  </si>
  <si>
    <t>Presión Atmosférica</t>
  </si>
  <si>
    <t>Coeficiente cubico de expansión térmico del material</t>
  </si>
  <si>
    <t>Diámetro interno del cuello</t>
  </si>
  <si>
    <t>Ancho de los trazos de la escala</t>
  </si>
  <si>
    <t>CICLOS DE CALIBRACIÓN</t>
  </si>
  <si>
    <t xml:space="preserve">TOMA DE DATOS DEL RVP </t>
  </si>
  <si>
    <t xml:space="preserve">TOMA DE DATOS DEL RVC </t>
  </si>
  <si>
    <t>Ítem</t>
  </si>
  <si>
    <t>Temperatura liquido °C</t>
  </si>
  <si>
    <t>Vertido (s)</t>
  </si>
  <si>
    <t>Escurrido (s)</t>
  </si>
  <si>
    <t>Total de (V+E) (s)</t>
  </si>
  <si>
    <t>Delta del volumen</t>
  </si>
  <si>
    <t xml:space="preserve">n =                     </t>
  </si>
  <si>
    <t>ANÁLISIS DE CAPACIDAD DE VOLUMEN (RVC) ml</t>
  </si>
  <si>
    <t>Adicionar / Sustraer  (mL)</t>
  </si>
  <si>
    <t xml:space="preserve">                             ( mL)    </t>
  </si>
  <si>
    <t>COEFICIENTE DE SENSIBILIDAD CON RESPECTO AL VOLUMEN DE REFERENCIA (RVP)</t>
  </si>
  <si>
    <t>Derivadas Parciales</t>
  </si>
  <si>
    <t xml:space="preserve">Respecto al Coeficiente cubico de expansión térmico del agua </t>
  </si>
  <si>
    <t>Respecto a la lectura del menisco</t>
  </si>
  <si>
    <t>Respecto a la repetibilidad de las mediciones</t>
  </si>
  <si>
    <t>Respecto a los factores adicionales</t>
  </si>
  <si>
    <t>PRESPUESTO DE INCERTIDUMBRE</t>
  </si>
  <si>
    <t>Magnitud</t>
  </si>
  <si>
    <t>Incertidumbre Original</t>
  </si>
  <si>
    <t>k</t>
  </si>
  <si>
    <t>Incertidumbre Estándar</t>
  </si>
  <si>
    <t>Coeficientes de Sensibilidad</t>
  </si>
  <si>
    <t>Contribución</t>
  </si>
  <si>
    <t>Fuente Información</t>
  </si>
  <si>
    <t>Tipo de distribución</t>
  </si>
  <si>
    <t>Grados Efectivos de Libertad</t>
  </si>
  <si>
    <t>Volumen Recipiente de Referencia</t>
  </si>
  <si>
    <t xml:space="preserve">Calibración </t>
  </si>
  <si>
    <t>Normal</t>
  </si>
  <si>
    <t>Deriva</t>
  </si>
  <si>
    <t>Temperatura del agua en el RVP</t>
  </si>
  <si>
    <t>Resolución termómetro</t>
  </si>
  <si>
    <t>Calibración</t>
  </si>
  <si>
    <t>Inhomogenidad</t>
  </si>
  <si>
    <t>Temperatura del agua en el RVC</t>
  </si>
  <si>
    <t>Coeficiente cubico de expansión                           térmico del Agua</t>
  </si>
  <si>
    <t>Calculada</t>
  </si>
  <si>
    <t>Coeficiente cubico de                                                  expansión térmico del material</t>
  </si>
  <si>
    <t>Referencia placa</t>
  </si>
  <si>
    <t>Coeficiente cubico de                                          expansión térmico del material</t>
  </si>
  <si>
    <t>Referencia tabla 1</t>
  </si>
  <si>
    <t>Incertidumbres Adicionales</t>
  </si>
  <si>
    <t xml:space="preserve">Lectura del menisco RVP  </t>
  </si>
  <si>
    <t xml:space="preserve">Lectura del menisco RVC  </t>
  </si>
  <si>
    <t>Delta por repetibilidad</t>
  </si>
  <si>
    <t>tabla 2</t>
  </si>
  <si>
    <t>Delta de adicionales</t>
  </si>
  <si>
    <t>Euramet 21 Tabla 2</t>
  </si>
  <si>
    <t>U expandida</t>
  </si>
  <si>
    <t>Resultados Finales</t>
  </si>
  <si>
    <r>
      <t>V</t>
    </r>
    <r>
      <rPr>
        <vertAlign val="subscript"/>
        <sz val="16"/>
        <color theme="1"/>
        <rFont val="Arial"/>
        <family val="2"/>
      </rPr>
      <t>t</t>
    </r>
  </si>
  <si>
    <r>
      <t>u ( V</t>
    </r>
    <r>
      <rPr>
        <vertAlign val="subscript"/>
        <sz val="16"/>
        <color theme="1"/>
        <rFont val="Arial"/>
        <family val="2"/>
      </rPr>
      <t xml:space="preserve">t </t>
    </r>
    <r>
      <rPr>
        <sz val="16"/>
        <color theme="1"/>
        <rFont val="Arial"/>
        <family val="2"/>
      </rPr>
      <t>)</t>
    </r>
  </si>
  <si>
    <t>│E│</t>
  </si>
  <si>
    <t>U corregida</t>
  </si>
  <si>
    <r>
      <t>in</t>
    </r>
    <r>
      <rPr>
        <vertAlign val="superscript"/>
        <sz val="18"/>
        <color theme="1"/>
        <rFont val="Arial"/>
        <family val="2"/>
      </rPr>
      <t>3</t>
    </r>
  </si>
  <si>
    <t>Termómetro RVP</t>
  </si>
  <si>
    <t>Termómetro RVC</t>
  </si>
  <si>
    <t>Digital</t>
  </si>
  <si>
    <t>Vidrio</t>
  </si>
  <si>
    <t>11.   OBSERVACIONES</t>
  </si>
  <si>
    <t>10.   LA ESCALA FUE AJUSTADA</t>
  </si>
  <si>
    <t>INTERPOLACION CERTIFICADO DE CALIBRACION</t>
  </si>
  <si>
    <t>ANALISIS DE DATOS INTERPOLACIÓN (mL)</t>
  </si>
  <si>
    <t>Numero de espacios (N)</t>
  </si>
  <si>
    <t>m</t>
  </si>
  <si>
    <t>y</t>
  </si>
  <si>
    <t>x</t>
  </si>
  <si>
    <t>Volumen calculado</t>
  </si>
  <si>
    <t>m     =</t>
  </si>
  <si>
    <t>Volumen nominal</t>
  </si>
  <si>
    <t>Volumen convencional</t>
  </si>
  <si>
    <t>Error</t>
  </si>
  <si>
    <t xml:space="preserve">Incertidumbre por interpolación </t>
  </si>
  <si>
    <t>1    (mm)</t>
  </si>
  <si>
    <t>2    (mm)</t>
  </si>
  <si>
    <t>3    (mm)</t>
  </si>
  <si>
    <t xml:space="preserve">   PROMEDIOS                  (mm)</t>
  </si>
  <si>
    <t>h max</t>
  </si>
  <si>
    <t>TABLA DE CONVERSION</t>
  </si>
  <si>
    <t>h min</t>
  </si>
  <si>
    <t>1 galon</t>
  </si>
  <si>
    <t>Litro</t>
  </si>
  <si>
    <t>Mililitro</t>
  </si>
  <si>
    <t>Respecto a D</t>
  </si>
  <si>
    <t xml:space="preserve">Respecto </t>
  </si>
  <si>
    <t>(ui(y))2</t>
  </si>
  <si>
    <t>Certificado de calibracion</t>
  </si>
  <si>
    <t>Delta de volumen maximo de lectura</t>
  </si>
  <si>
    <t>Estimada</t>
  </si>
  <si>
    <t>Delta de volumen minimo de lectura</t>
  </si>
  <si>
    <t>Delta por Inhomogenidad</t>
  </si>
  <si>
    <t>Delta por metodo</t>
  </si>
  <si>
    <t>Division de escala</t>
  </si>
  <si>
    <t>2.   LUGAR Y DIRECCIÓN DE CALIBRACIÓN</t>
  </si>
  <si>
    <t xml:space="preserve">5.   MÉTODO DE CALIBRACIÓN UTILIZADO </t>
  </si>
  <si>
    <t>mm</t>
  </si>
  <si>
    <t>Luis Henry Barreto Rojas</t>
  </si>
  <si>
    <r>
      <t>y</t>
    </r>
    <r>
      <rPr>
        <b/>
        <vertAlign val="subscript"/>
        <sz val="12"/>
        <color theme="1"/>
        <rFont val="Arial"/>
        <family val="2"/>
      </rPr>
      <t>3</t>
    </r>
  </si>
  <si>
    <r>
      <t>y</t>
    </r>
    <r>
      <rPr>
        <b/>
        <vertAlign val="subscript"/>
        <sz val="12"/>
        <color theme="1"/>
        <rFont val="Arial"/>
        <family val="2"/>
      </rPr>
      <t>1</t>
    </r>
  </si>
  <si>
    <r>
      <t>1 in</t>
    </r>
    <r>
      <rPr>
        <b/>
        <vertAlign val="superscript"/>
        <sz val="14"/>
        <color rgb="FF000000"/>
        <rFont val="Arial"/>
        <family val="2"/>
      </rPr>
      <t>3</t>
    </r>
  </si>
  <si>
    <r>
      <t>1 in</t>
    </r>
    <r>
      <rPr>
        <b/>
        <vertAlign val="superscript"/>
        <sz val="10"/>
        <color theme="1"/>
        <rFont val="Arial"/>
        <family val="2"/>
      </rPr>
      <t>3</t>
    </r>
  </si>
  <si>
    <r>
      <t>1 cm</t>
    </r>
    <r>
      <rPr>
        <b/>
        <vertAlign val="superscript"/>
        <sz val="10"/>
        <color theme="1"/>
        <rFont val="Arial"/>
        <family val="2"/>
      </rPr>
      <t>3</t>
    </r>
  </si>
  <si>
    <r>
      <t>V</t>
    </r>
    <r>
      <rPr>
        <i/>
        <vertAlign val="subscript"/>
        <sz val="12"/>
        <color theme="1"/>
        <rFont val="Arial"/>
        <family val="2"/>
      </rPr>
      <t>t</t>
    </r>
  </si>
  <si>
    <r>
      <t>V</t>
    </r>
    <r>
      <rPr>
        <i/>
        <vertAlign val="subscript"/>
        <sz val="12"/>
        <color theme="1"/>
        <rFont val="Arial"/>
        <family val="2"/>
      </rPr>
      <t xml:space="preserve">t + </t>
    </r>
    <r>
      <rPr>
        <vertAlign val="subscript"/>
        <sz val="12"/>
        <color theme="1"/>
        <rFont val="Arial"/>
        <family val="2"/>
      </rPr>
      <t>±</t>
    </r>
    <r>
      <rPr>
        <i/>
        <vertAlign val="subscript"/>
        <sz val="12"/>
        <color theme="1"/>
        <rFont val="Arial"/>
        <family val="2"/>
      </rPr>
      <t xml:space="preserve"> </t>
    </r>
    <r>
      <rPr>
        <i/>
        <sz val="12"/>
        <color theme="1"/>
        <rFont val="Arial"/>
        <family val="2"/>
      </rPr>
      <t>∆V)</t>
    </r>
  </si>
  <si>
    <r>
      <t>°C</t>
    </r>
    <r>
      <rPr>
        <vertAlign val="superscript"/>
        <sz val="10"/>
        <color theme="1"/>
        <rFont val="Arial"/>
        <family val="2"/>
      </rPr>
      <t>-1</t>
    </r>
  </si>
  <si>
    <r>
      <t>Adicionar / Sustraer  (in</t>
    </r>
    <r>
      <rPr>
        <vertAlign val="superscript"/>
        <sz val="14"/>
        <color theme="1"/>
        <rFont val="Arial"/>
        <family val="2"/>
      </rPr>
      <t>3)</t>
    </r>
  </si>
  <si>
    <r>
      <t xml:space="preserve">Promedio   </t>
    </r>
    <r>
      <rPr>
        <b/>
        <i/>
        <sz val="11"/>
        <color theme="0"/>
        <rFont val="Arial"/>
        <family val="2"/>
      </rPr>
      <t>Vt</t>
    </r>
  </si>
  <si>
    <r>
      <t xml:space="preserve">Desviación </t>
    </r>
    <r>
      <rPr>
        <b/>
        <i/>
        <sz val="11"/>
        <color theme="0"/>
        <rFont val="Arial"/>
        <family val="2"/>
      </rPr>
      <t>s  Vt</t>
    </r>
  </si>
  <si>
    <r>
      <t xml:space="preserve">Valor Estimado </t>
    </r>
    <r>
      <rPr>
        <b/>
        <i/>
        <sz val="12"/>
        <color theme="1"/>
        <rFont val="Arial"/>
        <family val="2"/>
      </rPr>
      <t>X</t>
    </r>
    <r>
      <rPr>
        <b/>
        <i/>
        <vertAlign val="subscript"/>
        <sz val="12"/>
        <color theme="1"/>
        <rFont val="Arial"/>
        <family val="2"/>
      </rPr>
      <t>i</t>
    </r>
  </si>
  <si>
    <t>Incertidumbre del Certificado</t>
  </si>
  <si>
    <t>Fecha de Calibración</t>
  </si>
  <si>
    <t>División de Escala / Resolución</t>
  </si>
  <si>
    <t>Identificación             /  
Serie</t>
  </si>
  <si>
    <r>
      <t xml:space="preserve">Corrección </t>
    </r>
    <r>
      <rPr>
        <b/>
        <sz val="7"/>
        <color theme="1"/>
        <rFont val="Arial"/>
        <family val="2"/>
      </rPr>
      <t>(Según Certificado)</t>
    </r>
  </si>
  <si>
    <r>
      <t xml:space="preserve">Capacidad            </t>
    </r>
    <r>
      <rPr>
        <b/>
        <sz val="8"/>
        <color theme="1"/>
        <rFont val="Arial"/>
        <family val="2"/>
      </rPr>
      <t>(Según Certificado)</t>
    </r>
  </si>
  <si>
    <r>
      <t xml:space="preserve">Factor de Cobertura </t>
    </r>
    <r>
      <rPr>
        <b/>
        <sz val="8"/>
        <color theme="1"/>
        <rFont val="Arial"/>
        <family val="2"/>
      </rPr>
      <t>(Según Certificado)</t>
    </r>
  </si>
  <si>
    <t>Coeficiente cubico de expansión térmico del material (IP)</t>
  </si>
  <si>
    <t xml:space="preserve">Delta de adicionales   </t>
  </si>
  <si>
    <t>s</t>
  </si>
  <si>
    <t xml:space="preserve">Coeficiente de expansión térmica del agua   ß </t>
  </si>
  <si>
    <t xml:space="preserve">Pipeta </t>
  </si>
  <si>
    <t xml:space="preserve">Probeta </t>
  </si>
  <si>
    <t>Recipientes Volumetricos Patrón</t>
  </si>
  <si>
    <t>Termohigrometros</t>
  </si>
  <si>
    <t>Pipetas</t>
  </si>
  <si>
    <t>Probetas</t>
  </si>
  <si>
    <t>Cronometros</t>
  </si>
  <si>
    <t>Fecha de Recepción</t>
  </si>
  <si>
    <t>Lugar de Calibración</t>
  </si>
  <si>
    <t>Codigo interno</t>
  </si>
  <si>
    <t>Certificado</t>
  </si>
  <si>
    <t>100.27</t>
  </si>
  <si>
    <t>MICROMETRO DE EXTERIORES</t>
  </si>
  <si>
    <t>Pie de Rey           "puntas de interiores"</t>
  </si>
  <si>
    <t>Pie de Rey           "puntas de exteriores"</t>
  </si>
  <si>
    <t>Unidades en  " °C "</t>
  </si>
  <si>
    <t>Unidades en    " mm "</t>
  </si>
  <si>
    <t>Unidades en    " s "</t>
  </si>
  <si>
    <t xml:space="preserve">Puntos para Interpolar según  Certificado </t>
  </si>
  <si>
    <t>Serie</t>
  </si>
  <si>
    <t>Capacidad Nominal en  " gal "</t>
  </si>
  <si>
    <t>Resolución</t>
  </si>
  <si>
    <t>NOMBRE DEL METRÓLOGO</t>
  </si>
  <si>
    <t>Respecto al Coeficiente cubico de expansión térmico del material del " RVC "</t>
  </si>
  <si>
    <t>Respecto al Coeficiente cubico de expansión térmico del material del  " RVP "</t>
  </si>
  <si>
    <t>Respecto al volumen de referencia del  " RVP "</t>
  </si>
  <si>
    <t>Respecto a la temperatura del líquido en el  " RVP "</t>
  </si>
  <si>
    <t>Respecto ala temperatura del liquido en el  " RVC "</t>
  </si>
  <si>
    <t>Respecto al Coeficiente cubico de expansión térmico del material del  " IP "</t>
  </si>
  <si>
    <t>Pipeta   " IP "</t>
  </si>
  <si>
    <t>Calibración  " IP "</t>
  </si>
  <si>
    <t>Resolución    " IP "</t>
  </si>
  <si>
    <t>Deriva  " IP "</t>
  </si>
  <si>
    <t>V-005</t>
  </si>
  <si>
    <t>V-001</t>
  </si>
  <si>
    <t xml:space="preserve">14-92812                </t>
  </si>
  <si>
    <t xml:space="preserve">22,1014,1212,,005 / pt 347980,004     </t>
  </si>
  <si>
    <t xml:space="preserve">004,0816,1212,006 / pt 347980,002     </t>
  </si>
  <si>
    <t xml:space="preserve">004,0816,1212,006 / pt 347980,002    </t>
  </si>
  <si>
    <t>V-1</t>
  </si>
  <si>
    <t>V-2</t>
  </si>
  <si>
    <t>V-3</t>
  </si>
  <si>
    <t>V-4</t>
  </si>
  <si>
    <t>V-5</t>
  </si>
  <si>
    <t>V-6</t>
  </si>
  <si>
    <t>V-7</t>
  </si>
  <si>
    <t>V-8</t>
  </si>
  <si>
    <t>V-9</t>
  </si>
  <si>
    <t>V-10</t>
  </si>
  <si>
    <t>V-11</t>
  </si>
  <si>
    <t xml:space="preserve">CR -01        Auxiliar </t>
  </si>
  <si>
    <t>V-14</t>
  </si>
  <si>
    <t>Corrección (Según Certificado)</t>
  </si>
  <si>
    <t>Factor de Cobertura (Según Certificado)</t>
  </si>
  <si>
    <t>No</t>
  </si>
  <si>
    <t>Diámetro interno del cuello (cm)</t>
  </si>
  <si>
    <t>Coeficiente cubico de expansión térmico del material ( °C-1)</t>
  </si>
  <si>
    <t>División de escala ( mL )</t>
  </si>
  <si>
    <t>Temperatura de referencia ( °C )</t>
  </si>
  <si>
    <t>Resolución ( mL )</t>
  </si>
  <si>
    <t>Ancho de los trazos de la escala (cm)</t>
  </si>
  <si>
    <t>Coeficiente cubico de expansión térmico del material (IP)  ( °C-1)</t>
  </si>
  <si>
    <t>Metrologos</t>
  </si>
  <si>
    <t>Elvis Aguirre Romero</t>
  </si>
  <si>
    <t>Pedro Jose Vargas Lopéz</t>
  </si>
  <si>
    <t>Arcesio Velandia Carreño</t>
  </si>
  <si>
    <t>Nombre del Metrologo</t>
  </si>
  <si>
    <r>
      <t>x</t>
    </r>
    <r>
      <rPr>
        <b/>
        <vertAlign val="subscript"/>
        <sz val="12"/>
        <color theme="1"/>
        <rFont val="Arial"/>
        <family val="2"/>
      </rPr>
      <t>1</t>
    </r>
  </si>
  <si>
    <r>
      <t>x</t>
    </r>
    <r>
      <rPr>
        <b/>
        <vertAlign val="subscript"/>
        <sz val="12"/>
        <color theme="1"/>
        <rFont val="Arial"/>
        <family val="2"/>
      </rPr>
      <t>2</t>
    </r>
  </si>
  <si>
    <r>
      <t>1 in</t>
    </r>
    <r>
      <rPr>
        <b/>
        <vertAlign val="superscript"/>
        <sz val="12"/>
        <color theme="1"/>
        <rFont val="Arial"/>
        <family val="2"/>
      </rPr>
      <t>3</t>
    </r>
  </si>
  <si>
    <r>
      <t>Diferencia de halturas  (D</t>
    </r>
    <r>
      <rPr>
        <b/>
        <vertAlign val="subscript"/>
        <sz val="12"/>
        <color theme="1"/>
        <rFont val="Arial"/>
        <family val="2"/>
      </rPr>
      <t>h</t>
    </r>
    <r>
      <rPr>
        <b/>
        <sz val="12"/>
        <color theme="1"/>
        <rFont val="Arial"/>
        <family val="2"/>
      </rPr>
      <t>)</t>
    </r>
  </si>
  <si>
    <r>
      <t>u (∆D</t>
    </r>
    <r>
      <rPr>
        <b/>
        <vertAlign val="subscript"/>
        <sz val="12"/>
        <color theme="1"/>
        <rFont val="Arial"/>
        <family val="2"/>
      </rPr>
      <t>inho</t>
    </r>
    <r>
      <rPr>
        <b/>
        <sz val="12"/>
        <color theme="1"/>
        <rFont val="Arial"/>
        <family val="2"/>
      </rPr>
      <t xml:space="preserve">) </t>
    </r>
    <r>
      <rPr>
        <b/>
        <vertAlign val="subscript"/>
        <sz val="12"/>
        <color theme="1"/>
        <rFont val="Arial"/>
        <family val="2"/>
      </rPr>
      <t xml:space="preserve"> (mL)</t>
    </r>
  </si>
  <si>
    <r>
      <rPr>
        <i/>
        <sz val="12"/>
        <color theme="1"/>
        <rFont val="Arial"/>
        <family val="2"/>
      </rPr>
      <t>u</t>
    </r>
    <r>
      <rPr>
        <sz val="12"/>
        <color theme="1"/>
        <rFont val="Arial"/>
        <family val="2"/>
      </rPr>
      <t xml:space="preserve"> division de escala </t>
    </r>
  </si>
  <si>
    <r>
      <t>in</t>
    </r>
    <r>
      <rPr>
        <vertAlign val="superscript"/>
        <sz val="12"/>
        <color theme="1"/>
        <rFont val="Arial"/>
        <family val="2"/>
      </rPr>
      <t>3</t>
    </r>
  </si>
  <si>
    <t xml:space="preserve">°C </t>
  </si>
  <si>
    <r>
      <t>División de escala   (in</t>
    </r>
    <r>
      <rPr>
        <b/>
        <vertAlign val="superscript"/>
        <sz val="10"/>
        <color theme="1"/>
        <rFont val="Arial"/>
        <family val="2"/>
      </rPr>
      <t>3</t>
    </r>
    <r>
      <rPr>
        <b/>
        <sz val="10"/>
        <color theme="1"/>
        <rFont val="Arial"/>
        <family val="2"/>
      </rPr>
      <t>)</t>
    </r>
    <r>
      <rPr>
        <b/>
        <vertAlign val="superscript"/>
        <sz val="10"/>
        <color theme="1"/>
        <rFont val="Arial"/>
        <family val="2"/>
      </rPr>
      <t xml:space="preserve"> </t>
    </r>
  </si>
  <si>
    <t>Verificaión de Escala</t>
  </si>
  <si>
    <r>
      <t xml:space="preserve">0,5 </t>
    </r>
    <r>
      <rPr>
        <b/>
        <vertAlign val="superscript"/>
        <sz val="12"/>
        <color theme="1"/>
        <rFont val="Arial"/>
        <family val="2"/>
      </rPr>
      <t xml:space="preserve">   </t>
    </r>
    <r>
      <rPr>
        <b/>
        <sz val="12"/>
        <color theme="1"/>
        <rFont val="Arial"/>
        <family val="2"/>
      </rPr>
      <t>=</t>
    </r>
  </si>
  <si>
    <r>
      <t xml:space="preserve">1 </t>
    </r>
    <r>
      <rPr>
        <b/>
        <vertAlign val="superscript"/>
        <sz val="12"/>
        <color theme="1"/>
        <rFont val="Arial"/>
        <family val="2"/>
      </rPr>
      <t xml:space="preserve">   </t>
    </r>
    <r>
      <rPr>
        <b/>
        <sz val="12"/>
        <color theme="1"/>
        <rFont val="Arial"/>
        <family val="2"/>
      </rPr>
      <t>=</t>
    </r>
  </si>
  <si>
    <t># de Espacios</t>
  </si>
  <si>
    <t>Capacidad Nomimal y según certificado</t>
  </si>
  <si>
    <t>Nominal</t>
  </si>
  <si>
    <r>
      <t>D</t>
    </r>
    <r>
      <rPr>
        <b/>
        <vertAlign val="subscript"/>
        <sz val="14"/>
        <color rgb="FFFFFFFF"/>
        <rFont val="Arial"/>
        <family val="2"/>
      </rPr>
      <t>promedio</t>
    </r>
  </si>
  <si>
    <r>
      <t>INTERVALO DE LA ESCALA DEL RV  EN  ±10 in</t>
    </r>
    <r>
      <rPr>
        <b/>
        <vertAlign val="superscript"/>
        <sz val="14"/>
        <color rgb="FFFFFFFF"/>
        <rFont val="Arial"/>
        <family val="2"/>
      </rPr>
      <t>3</t>
    </r>
  </si>
  <si>
    <r>
      <t>ALTURAS DE ESPACIOS EN RV  ± 10 in</t>
    </r>
    <r>
      <rPr>
        <b/>
        <vertAlign val="superscript"/>
        <sz val="14"/>
        <color rgb="FFFFFFFF"/>
        <rFont val="Arial"/>
        <family val="2"/>
      </rPr>
      <t>3</t>
    </r>
  </si>
  <si>
    <t>Magnitud de entrada</t>
  </si>
  <si>
    <t>Valor estimado (xi)</t>
  </si>
  <si>
    <t>Incertidumbre original</t>
  </si>
  <si>
    <t>Incertidumbre estandar  u(xi)</t>
  </si>
  <si>
    <t>Coeficiente de sencibilidad (ci)</t>
  </si>
  <si>
    <t>Contribución ui(y)</t>
  </si>
  <si>
    <t>Tipo de Distribución</t>
  </si>
  <si>
    <t>Gradoas de libertad    Vi</t>
  </si>
  <si>
    <t>Volumen suministrado probeta patron</t>
  </si>
  <si>
    <t>Calibración probeta patron</t>
  </si>
  <si>
    <t>Lectura probeta patron</t>
  </si>
  <si>
    <t>Unidades en   " mL "</t>
  </si>
  <si>
    <t>Identificación / serie</t>
  </si>
  <si>
    <t>Capacidad (Según Certificado)</t>
  </si>
  <si>
    <t>Identificación / Serie</t>
  </si>
  <si>
    <t>Capacidad  (Según Certificado)</t>
  </si>
  <si>
    <t>Recipiente Volumétrico de 5 Galones</t>
  </si>
  <si>
    <t>División de escala nominal:</t>
  </si>
  <si>
    <t>Las condiciones ambientales promedio en el laboratorio durante la calibración fueron las siguientes:</t>
  </si>
  <si>
    <t>Incertidumbre    U</t>
  </si>
  <si>
    <t>Incertidumbre      U</t>
  </si>
  <si>
    <t>La escala fue verificada:</t>
  </si>
  <si>
    <t xml:space="preserve">  Responsable de la Calibración</t>
  </si>
  <si>
    <t>…………………..Fin de este documento………………………</t>
  </si>
  <si>
    <t>Lufft Opus 20</t>
  </si>
  <si>
    <t>Brand</t>
  </si>
  <si>
    <t>Lms Germany</t>
  </si>
  <si>
    <t>MC</t>
  </si>
  <si>
    <t>Simax</t>
  </si>
  <si>
    <t>Mitutoyo</t>
  </si>
  <si>
    <t>Procal.c</t>
  </si>
  <si>
    <t>V-12</t>
  </si>
  <si>
    <t xml:space="preserve">Lufft </t>
  </si>
  <si>
    <t>INM 2286</t>
  </si>
  <si>
    <t>INM (S)1725</t>
  </si>
  <si>
    <t>Trazabilidad y numero</t>
  </si>
  <si>
    <t>Observaciones</t>
  </si>
  <si>
    <r>
      <t>Adicionar / Sustraer  in</t>
    </r>
    <r>
      <rPr>
        <vertAlign val="superscript"/>
        <sz val="14"/>
        <color theme="1"/>
        <rFont val="Arial"/>
        <family val="2"/>
      </rPr>
      <t xml:space="preserve">3 </t>
    </r>
  </si>
  <si>
    <t>Intervalo de Medición</t>
  </si>
  <si>
    <t>A</t>
  </si>
  <si>
    <r>
      <t>in</t>
    </r>
    <r>
      <rPr>
        <vertAlign val="superscript"/>
        <sz val="14"/>
        <color theme="1"/>
        <rFont val="Arial"/>
        <family val="2"/>
      </rPr>
      <t>3</t>
    </r>
  </si>
  <si>
    <t>Volumen Indicado Vsp</t>
  </si>
  <si>
    <t>Capacidad nominal probeta patron</t>
  </si>
  <si>
    <t xml:space="preserve"> Capacidad según certificado       </t>
  </si>
  <si>
    <t>V Min Indicado probeta patron     (N)</t>
  </si>
  <si>
    <t>Interpolación VMin Indicacado probeta patrón</t>
  </si>
  <si>
    <t xml:space="preserve">V suministrado al  RVC con probeta patrón           </t>
  </si>
  <si>
    <t>División de escala calculada al RVC        D=Vsp/N</t>
  </si>
  <si>
    <t>CONVERSIÓN</t>
  </si>
  <si>
    <t>Capacidad Nominal mL</t>
  </si>
  <si>
    <r>
      <t xml:space="preserve">Capacidad </t>
    </r>
    <r>
      <rPr>
        <b/>
        <sz val="8"/>
        <color theme="1"/>
        <rFont val="Arial"/>
        <family val="2"/>
      </rPr>
      <t>(Según Certificado) mL</t>
    </r>
  </si>
  <si>
    <t>División de Escala / Resolución mL</t>
  </si>
  <si>
    <r>
      <t xml:space="preserve">Corrección </t>
    </r>
    <r>
      <rPr>
        <b/>
        <sz val="7"/>
        <color theme="1"/>
        <rFont val="Arial"/>
        <family val="2"/>
      </rPr>
      <t>(Según Certificado) mL</t>
    </r>
  </si>
  <si>
    <t>Incertidumbre del Certificado mL</t>
  </si>
  <si>
    <r>
      <t xml:space="preserve">                      DATOS PROBETA PATRON                      (V</t>
    </r>
    <r>
      <rPr>
        <b/>
        <vertAlign val="subscript"/>
        <sz val="14"/>
        <color theme="0"/>
        <rFont val="Arial"/>
        <family val="2"/>
      </rPr>
      <t>sp</t>
    </r>
    <r>
      <rPr>
        <b/>
        <sz val="14"/>
        <color theme="0"/>
        <rFont val="Arial"/>
        <family val="2"/>
      </rPr>
      <t>) (mL)</t>
    </r>
  </si>
  <si>
    <t xml:space="preserve"> Director Tecnico y/o Sust SGL</t>
  </si>
  <si>
    <t>Responsable del Sistema de Gestión y/o Sust Dir Tecnico</t>
  </si>
  <si>
    <t>AV</t>
  </si>
  <si>
    <t>LH</t>
  </si>
  <si>
    <t>PV</t>
  </si>
  <si>
    <t>EA</t>
  </si>
  <si>
    <t>Información Inicial</t>
  </si>
  <si>
    <t>Fecha de ingreso al Laboratorio</t>
  </si>
  <si>
    <t xml:space="preserve"> Recipientes Calibrados  en  los  Laboratorios  SIC - (RVC)</t>
  </si>
  <si>
    <t>N °  Certificado Adherido</t>
  </si>
  <si>
    <t>Equipos Patrón</t>
  </si>
  <si>
    <t>Termometro utilizado en el liquido del RVC</t>
  </si>
  <si>
    <t>Termometro utilizado en el liquido del RVP</t>
  </si>
  <si>
    <t>V-003    Punto 1</t>
  </si>
  <si>
    <t>V-003    Punto 2</t>
  </si>
  <si>
    <t>V-003    Punto 3</t>
  </si>
  <si>
    <t>V-004   Punto 1</t>
  </si>
  <si>
    <t>V-004   Punto 2</t>
  </si>
  <si>
    <t>V-004   Punto 3</t>
  </si>
  <si>
    <t xml:space="preserve">  V-002   °C</t>
  </si>
  <si>
    <t xml:space="preserve">  V-002   rH%</t>
  </si>
  <si>
    <t xml:space="preserve">  V-002   hPa</t>
  </si>
  <si>
    <t>M-012   °C</t>
  </si>
  <si>
    <t>M-013   °C</t>
  </si>
  <si>
    <t>M-010   °C</t>
  </si>
  <si>
    <t>M-011   °C</t>
  </si>
  <si>
    <t>M-012   rH%</t>
  </si>
  <si>
    <t>M-013   rH%</t>
  </si>
  <si>
    <t>M-010   rH%</t>
  </si>
  <si>
    <t>M-011   rH%</t>
  </si>
  <si>
    <t>M-012   hPa</t>
  </si>
  <si>
    <t>M-013   hPa</t>
  </si>
  <si>
    <t>M-010   hPa</t>
  </si>
  <si>
    <t>M-011   hPa</t>
  </si>
  <si>
    <t>V-13 Punto 20</t>
  </si>
  <si>
    <t>V-13 Punto 50</t>
  </si>
  <si>
    <t>V-13 Punto 100</t>
  </si>
  <si>
    <t>V-13 Punto 150</t>
  </si>
  <si>
    <t>V-13 Punto 200</t>
  </si>
  <si>
    <t>Metrologo de Volumen y/o Sust Masa</t>
  </si>
  <si>
    <t>Metrologo de Masa y/o Sust Volumen</t>
  </si>
  <si>
    <t>CMC</t>
  </si>
  <si>
    <t>DATOS</t>
  </si>
  <si>
    <t>14-92812</t>
  </si>
  <si>
    <t xml:space="preserve">16-5935702             </t>
  </si>
  <si>
    <t>Unidades en    " mL"</t>
  </si>
  <si>
    <t>INM 2550</t>
  </si>
  <si>
    <t>INM 2549</t>
  </si>
  <si>
    <t>INM  1995</t>
  </si>
  <si>
    <t>INM  1998</t>
  </si>
  <si>
    <t>INM  2149</t>
  </si>
  <si>
    <t>VANSOLIX S.A. CAT-144-16</t>
  </si>
  <si>
    <t>VANSOLIX S.A. CAH-060-16</t>
  </si>
  <si>
    <t>CDT DEL GAS CERT-16-EMP-              1056-2567</t>
  </si>
  <si>
    <t>VANSOLIX S.A. CAT-145-16</t>
  </si>
  <si>
    <t>VANSOLIX S.A. CAH-061-16</t>
  </si>
  <si>
    <t>CDT DEL GAS CERT-16-EMP-              1057-2567</t>
  </si>
  <si>
    <t>INM  1996</t>
  </si>
  <si>
    <t>INM  1999</t>
  </si>
  <si>
    <t>INM 2148</t>
  </si>
  <si>
    <t>INM  1994</t>
  </si>
  <si>
    <t>INM  1997</t>
  </si>
  <si>
    <t>INM  2147</t>
  </si>
  <si>
    <t>INM 1833</t>
  </si>
  <si>
    <t>INM 1832</t>
  </si>
  <si>
    <t>INM 1831</t>
  </si>
  <si>
    <t>INM 2990</t>
  </si>
  <si>
    <t>INM 2981</t>
  </si>
  <si>
    <t>INM 2985</t>
  </si>
  <si>
    <t xml:space="preserve">MLP - 01          </t>
  </si>
  <si>
    <t>INM 2952</t>
  </si>
  <si>
    <t>INM 2953</t>
  </si>
  <si>
    <t>INM 2964</t>
  </si>
  <si>
    <t>SIGMA No. 33295</t>
  </si>
  <si>
    <t>SIGMA No. 33291</t>
  </si>
  <si>
    <t>CMK-TFA-17096</t>
  </si>
  <si>
    <t>V-13 Punto 5</t>
  </si>
  <si>
    <t>V-13 Punto 70</t>
  </si>
  <si>
    <t>INM  3179</t>
  </si>
  <si>
    <t>INM   3176</t>
  </si>
  <si>
    <t>N/A</t>
  </si>
  <si>
    <t>Capacidad Nominal en      ( gal )</t>
  </si>
  <si>
    <t>Precinto #</t>
  </si>
  <si>
    <t xml:space="preserve">Temperatura </t>
  </si>
  <si>
    <t>En el presente informe se usa la coma “,” como separador decimal.</t>
  </si>
  <si>
    <t>%</t>
  </si>
  <si>
    <t>Metálico</t>
  </si>
  <si>
    <r>
      <t>Intervalo de la escala RV en  ±10 in</t>
    </r>
    <r>
      <rPr>
        <b/>
        <vertAlign val="superscript"/>
        <sz val="10"/>
        <rFont val="Arial"/>
        <family val="2"/>
      </rPr>
      <t>3</t>
    </r>
  </si>
  <si>
    <r>
      <t xml:space="preserve">Division de Escala  in </t>
    </r>
    <r>
      <rPr>
        <vertAlign val="superscript"/>
        <sz val="10"/>
        <rFont val="Arial"/>
        <family val="2"/>
      </rPr>
      <t>3</t>
    </r>
  </si>
  <si>
    <r>
      <t>in</t>
    </r>
    <r>
      <rPr>
        <vertAlign val="superscript"/>
        <sz val="12"/>
        <rFont val="Arial"/>
        <family val="2"/>
      </rPr>
      <t>3</t>
    </r>
  </si>
  <si>
    <r>
      <t>0,25 in</t>
    </r>
    <r>
      <rPr>
        <vertAlign val="superscript"/>
        <sz val="10"/>
        <rFont val="Arial"/>
        <family val="2"/>
      </rPr>
      <t>3</t>
    </r>
  </si>
  <si>
    <r>
      <t>0,5 in</t>
    </r>
    <r>
      <rPr>
        <vertAlign val="superscript"/>
        <sz val="10"/>
        <rFont val="Arial"/>
        <family val="2"/>
      </rPr>
      <t>3</t>
    </r>
  </si>
  <si>
    <r>
      <t>in</t>
    </r>
    <r>
      <rPr>
        <b/>
        <vertAlign val="superscript"/>
        <sz val="10"/>
        <rFont val="Arial"/>
        <family val="2"/>
      </rPr>
      <t>3</t>
    </r>
  </si>
  <si>
    <r>
      <t>1 in</t>
    </r>
    <r>
      <rPr>
        <vertAlign val="superscript"/>
        <sz val="10"/>
        <rFont val="Arial"/>
        <family val="2"/>
      </rPr>
      <t>3</t>
    </r>
  </si>
  <si>
    <r>
      <t xml:space="preserve">Unidades en   " °C ,  rH%  </t>
    </r>
    <r>
      <rPr>
        <i/>
        <sz val="10"/>
        <rFont val="Arial"/>
        <family val="2"/>
      </rPr>
      <t>y</t>
    </r>
    <r>
      <rPr>
        <b/>
        <i/>
        <sz val="10"/>
        <rFont val="Arial"/>
        <family val="2"/>
      </rPr>
      <t xml:space="preserve"> hPa " </t>
    </r>
    <r>
      <rPr>
        <sz val="10"/>
        <rFont val="Arial"/>
        <family val="2"/>
      </rPr>
      <t xml:space="preserve"> según corresponda</t>
    </r>
  </si>
  <si>
    <t>Acero Inoxidable</t>
  </si>
  <si>
    <t>Buena</t>
  </si>
  <si>
    <t>Tubo</t>
  </si>
  <si>
    <t>Temperatura liquido Corrección °C</t>
  </si>
  <si>
    <t>Temperatura liquido Corregida °C</t>
  </si>
  <si>
    <t>Este certificado de calibración no puede ser reproducido parcial ni totalmente, excepto con autorización  del laboratorio de la SIC.</t>
  </si>
  <si>
    <t xml:space="preserve">Este certificado de calibración no puede ser reproducido parcial ni totalmente,  excepto  con  autorización  del  laboratorio  de la SIC.   </t>
  </si>
  <si>
    <t>HOJA DE CÁLCULO PARA CALIBRACIÓN DE RECIPIENTES VOLUMÉTRICOS</t>
  </si>
  <si>
    <t>°C-1</t>
  </si>
  <si>
    <t>No tiene</t>
  </si>
  <si>
    <t>mL°C</t>
  </si>
  <si>
    <r>
      <t>°C</t>
    </r>
    <r>
      <rPr>
        <b/>
        <i/>
        <vertAlign val="superscript"/>
        <sz val="10"/>
        <rFont val="Arial"/>
        <family val="2"/>
      </rPr>
      <t>-1</t>
    </r>
  </si>
  <si>
    <r>
      <t>mL°C</t>
    </r>
    <r>
      <rPr>
        <b/>
        <i/>
        <vertAlign val="superscript"/>
        <sz val="12"/>
        <rFont val="Arial"/>
        <family val="2"/>
      </rPr>
      <t>-1</t>
    </r>
  </si>
  <si>
    <t>Bogota</t>
  </si>
  <si>
    <t>Laboratorio Volumen</t>
  </si>
  <si>
    <t>LCV-008-18</t>
  </si>
  <si>
    <t>RNPC</t>
  </si>
  <si>
    <t>Seraphin</t>
  </si>
  <si>
    <t>16-59644-82</t>
  </si>
  <si>
    <t>Patrón Utilizado en la Calibración - Termo higrómetros</t>
  </si>
  <si>
    <r>
      <t xml:space="preserve">Unidades en   " °C ,  rH%  </t>
    </r>
    <r>
      <rPr>
        <sz val="14"/>
        <rFont val="Arial"/>
        <family val="2"/>
      </rPr>
      <t>y</t>
    </r>
    <r>
      <rPr>
        <b/>
        <sz val="14"/>
        <rFont val="Arial"/>
        <family val="2"/>
      </rPr>
      <t xml:space="preserve"> hPa " </t>
    </r>
    <r>
      <rPr>
        <sz val="14"/>
        <rFont val="Arial"/>
        <family val="2"/>
      </rPr>
      <t xml:space="preserve"> según corresponda</t>
    </r>
  </si>
  <si>
    <t xml:space="preserve">  V-002 </t>
  </si>
  <si>
    <t>0,23.0714.0802.024</t>
  </si>
  <si>
    <t>INM 3392</t>
  </si>
  <si>
    <t>Humedad</t>
  </si>
  <si>
    <t>INM 3399</t>
  </si>
  <si>
    <t>INM 2149</t>
  </si>
  <si>
    <t>Código Interno</t>
  </si>
  <si>
    <t>%Rh</t>
  </si>
  <si>
    <t>2018-06-07 - 2018-06-13 -    2016-09-12</t>
  </si>
  <si>
    <t>INM  3392- 3399-2149</t>
  </si>
  <si>
    <t>V-002</t>
  </si>
  <si>
    <t xml:space="preserve">M-012 </t>
  </si>
  <si>
    <t>INM 3391</t>
  </si>
  <si>
    <t>INM 3398</t>
  </si>
  <si>
    <t>CDT CERT-16-EMP-1056-2567</t>
  </si>
  <si>
    <t>2018-06-07 - 2018-06-13 -    2016-10-28</t>
  </si>
  <si>
    <t>INM-3391, INM 3398 - CDT CERT-16-EMP-1056-2567</t>
  </si>
  <si>
    <t xml:space="preserve">M-012  </t>
  </si>
  <si>
    <t xml:space="preserve">M-013 </t>
  </si>
  <si>
    <t>INM 3411</t>
  </si>
  <si>
    <t>INM 3412</t>
  </si>
  <si>
    <t>CDT CERT-16-EMP-1057-2567</t>
  </si>
  <si>
    <t>2018-06-15 - 2018-06-15 -    2016-10-28</t>
  </si>
  <si>
    <t>INM 3411 - INM 3412 -  CERT-16-EMP-1057-2567</t>
  </si>
  <si>
    <t xml:space="preserve">M-013  </t>
  </si>
  <si>
    <t xml:space="preserve">M-010 </t>
  </si>
  <si>
    <t>0,26.0714.0802.024</t>
  </si>
  <si>
    <t>INM 3375</t>
  </si>
  <si>
    <t>INM 3381</t>
  </si>
  <si>
    <t>INM - 2148</t>
  </si>
  <si>
    <t>2018/06/15- 2018/06/15-    2016-09-12</t>
  </si>
  <si>
    <t>INM 3375 - INM 3381 -   2148</t>
  </si>
  <si>
    <t>M-010</t>
  </si>
  <si>
    <t xml:space="preserve">M-011 </t>
  </si>
  <si>
    <t>0,22.0714.0802.024</t>
  </si>
  <si>
    <t>INM 3374</t>
  </si>
  <si>
    <t>INM 3379</t>
  </si>
  <si>
    <t>INM-2147</t>
  </si>
  <si>
    <t>INM 1997</t>
  </si>
  <si>
    <t>INM 2147</t>
  </si>
  <si>
    <t>2018-06-01 - 2018-06-06 -    2016-09-12</t>
  </si>
  <si>
    <t>INM-3374-INM 3379-2147</t>
  </si>
  <si>
    <t>M-011</t>
  </si>
  <si>
    <r>
      <t xml:space="preserve">DATOS DE CONDICIONES AMBIENTALES </t>
    </r>
    <r>
      <rPr>
        <b/>
        <i/>
        <sz val="14"/>
        <color theme="0"/>
        <rFont val="Arial"/>
        <family val="2"/>
      </rPr>
      <t>TERMOHIGROMETRO</t>
    </r>
  </si>
  <si>
    <t>Temperatura °C</t>
  </si>
  <si>
    <t>Humedad Relativa %Rh</t>
  </si>
  <si>
    <t>Presión Atmosférica hPa</t>
  </si>
  <si>
    <r>
      <t xml:space="preserve">Delta del volumen </t>
    </r>
    <r>
      <rPr>
        <b/>
        <i/>
        <sz val="10"/>
        <color theme="1"/>
        <rFont val="Arial"/>
        <family val="2"/>
      </rPr>
      <t>(mL)</t>
    </r>
  </si>
  <si>
    <r>
      <t>mL°C</t>
    </r>
    <r>
      <rPr>
        <b/>
        <i/>
        <vertAlign val="superscript"/>
        <sz val="12"/>
        <color theme="1"/>
        <rFont val="Arial"/>
        <family val="2"/>
      </rPr>
      <t>-1</t>
    </r>
  </si>
  <si>
    <r>
      <t xml:space="preserve">N.C </t>
    </r>
    <r>
      <rPr>
        <b/>
        <i/>
        <sz val="16"/>
        <rFont val="Arial"/>
        <family val="2"/>
      </rPr>
      <t>%</t>
    </r>
  </si>
  <si>
    <r>
      <t xml:space="preserve">N.C </t>
    </r>
    <r>
      <rPr>
        <b/>
        <i/>
        <sz val="12"/>
        <color theme="1"/>
        <rFont val="Arial"/>
        <family val="2"/>
      </rPr>
      <t>%</t>
    </r>
  </si>
  <si>
    <t>Este certificado de calibración documenta la trazabilidad de los patrones empleados conforme  al Sistema Internacional de Unidades (SI).</t>
  </si>
  <si>
    <t>Se le instalo al recipiente una estampilla de calibración con el número de este certificado</t>
  </si>
  <si>
    <t>Ciudad del Solicitante</t>
  </si>
  <si>
    <t>Direccion de Calibración</t>
  </si>
  <si>
    <t>Carrera 50 # 26-55 piso 5</t>
  </si>
  <si>
    <t>Certificado N°</t>
  </si>
  <si>
    <t xml:space="preserve"> Los certificados de calibración sin firmas  no son válidos.</t>
  </si>
  <si>
    <t>En la calibración del recipiente volumétrico bajo prueba descrito en el procedimiento RT03-P04 Versión 01, siguiendo los lineamientos de la  guía  Euramet  cg-21 Versión 1.0 (04/2013), consistente  en  el  método por comparación directa, el cual consiste en que el volumen  de  agua  medido por  el  patrón  es comparado por el  volumen  de  agua  medido   en el   instrumento  bajo  prueba.</t>
  </si>
  <si>
    <t xml:space="preserve">Capacidad del RVP, a la temperatura de referencia hasta el trazo que indica su capacidad nominal de 5 galones.  </t>
  </si>
  <si>
    <t xml:space="preserve">Es la temperatura de referencia en el RVP, según certificado .                               </t>
  </si>
  <si>
    <t>La incertidumbre expandida con que se determinaron los errores, fueron estimadas con un nivel de confianza de 95,45  % aproximadamente, y esta fue multiplicada por el factor de cubrimiento  2,0.</t>
  </si>
  <si>
    <t>Antes de ajuste</t>
  </si>
  <si>
    <t xml:space="preserve">Los patrones utilizados en la calibración de este instrumento están trazados al sistema internacional de unidades, a través de patrones nacionales en la magnitud volumen.
</t>
  </si>
  <si>
    <t>3.   CÓDIGO INTERNO</t>
  </si>
  <si>
    <t>Los valores obtenidos en la verificación de la escala del recipiente volumétrico, son validos únicamente para el estado del recipiente al momento de la prueba.  (recipiente correctamente nivelado y humedecido previamente)</t>
  </si>
  <si>
    <t>Se le instala al recipiente un precinto de seguridad sobre la escala de medición con  número identificado en el circulo azul:</t>
  </si>
  <si>
    <t>Los certificados de calibración sin firmas  no son válidos.</t>
  </si>
  <si>
    <t>Se efectuaron 5 ciclos de vaciado y llenado para determinar la capacidad del recipiente.</t>
  </si>
  <si>
    <t>Valor Absoluto</t>
  </si>
  <si>
    <r>
      <t>in</t>
    </r>
    <r>
      <rPr>
        <vertAlign val="superscript"/>
        <sz val="12"/>
        <color theme="0"/>
        <rFont val="Arial Narrow"/>
        <family val="2"/>
      </rPr>
      <t>3</t>
    </r>
  </si>
  <si>
    <r>
      <t>División mínima promedio de escala en pulgadas (in</t>
    </r>
    <r>
      <rPr>
        <vertAlign val="superscript"/>
        <sz val="12"/>
        <color theme="0"/>
        <rFont val="Arial Narrow"/>
        <family val="2"/>
      </rPr>
      <t>3</t>
    </r>
    <r>
      <rPr>
        <sz val="12"/>
        <color theme="0"/>
        <rFont val="Arial Narrow"/>
        <family val="2"/>
      </rPr>
      <t xml:space="preserve">) y (%): </t>
    </r>
    <r>
      <rPr>
        <b/>
        <sz val="12"/>
        <color theme="0"/>
        <rFont val="Arial Narrow"/>
        <family val="2"/>
      </rPr>
      <t xml:space="preserve"> </t>
    </r>
  </si>
  <si>
    <r>
      <t>La escala fue verificada en el intervalo de medición 5 galones ± 10 in</t>
    </r>
    <r>
      <rPr>
        <vertAlign val="superscript"/>
        <sz val="12"/>
        <color theme="0"/>
        <rFont val="Arial Narrow"/>
        <family val="2"/>
      </rPr>
      <t>3</t>
    </r>
    <r>
      <rPr>
        <sz val="12"/>
        <color theme="0"/>
        <rFont val="Arial Narrow"/>
        <family val="2"/>
      </rPr>
      <t>.</t>
    </r>
  </si>
  <si>
    <t>Corrección por temperatura en el liquido RVP</t>
  </si>
  <si>
    <t>Corrección por temperatura en el liquido RVC</t>
  </si>
  <si>
    <r>
      <t xml:space="preserve">Contribución </t>
    </r>
    <r>
      <rPr>
        <b/>
        <vertAlign val="superscript"/>
        <sz val="10"/>
        <color theme="1"/>
        <rFont val="Arial"/>
        <family val="2"/>
      </rPr>
      <t>2</t>
    </r>
  </si>
  <si>
    <t>Código interno</t>
  </si>
  <si>
    <t>Incertidumbre Estándar Global</t>
  </si>
  <si>
    <t xml:space="preserve">HOJA DE CÁLCULO PARA CALIBRACIÓN DE RECIPIENTES VOLUMÉTRICOS </t>
  </si>
  <si>
    <t>Después de ajuste</t>
  </si>
  <si>
    <t>Se efectuaron 3 ciclos de vaciado y llenado para determinar la capacidad del recipiente después de ajuste.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</si>
</sst>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0.00000"/>
    <numFmt numFmtId="165" formatCode="0.0000"/>
    <numFmt numFmtId="166" formatCode="0.000"/>
    <numFmt numFmtId="167" formatCode="0.0"/>
    <numFmt numFmtId="168" formatCode="0.000E+00"/>
    <numFmt numFmtId="169" formatCode="0.000000"/>
    <numFmt numFmtId="170" formatCode="yyyy\-mm\-dd;@"/>
    <numFmt numFmtId="171" formatCode="0.000000000"/>
    <numFmt numFmtId="172" formatCode="0.00000000"/>
    <numFmt numFmtId="173" formatCode="0.0000000"/>
    <numFmt numFmtId="174" formatCode="0.0000000000"/>
    <numFmt numFmtId="175" formatCode="hh:mm:ss;@"/>
    <numFmt numFmtId="176" formatCode="0.0000E+00"/>
    <numFmt numFmtId="177" formatCode="0.0_ \ &quot;%rH&quot;"/>
    <numFmt numFmtId="178" formatCode="0.0_ \ &quot;hPa&quot;"/>
    <numFmt numFmtId="179" formatCode="0.0_ \ &quot;°C&quot;"/>
    <numFmt numFmtId="180" formatCode="0\ &quot;°C&quot;"/>
    <numFmt numFmtId="181" formatCode="&quot; K=&quot;0.00"/>
    <numFmt numFmtId="182" formatCode="#,##0.0"/>
  </numFmts>
  <fonts count="106" x14ac:knownFonts="1">
    <font>
      <sz val="11"/>
      <color theme="1"/>
      <name val="Calibri"/>
      <family val="2"/>
      <scheme val="minor"/>
    </font>
    <font>
      <b/>
      <sz val="12"/>
      <color theme="1"/>
      <name val="Arial"/>
      <family val="2"/>
    </font>
    <font>
      <sz val="12"/>
      <color theme="1"/>
      <name val="Arial"/>
      <family val="2"/>
    </font>
    <font>
      <sz val="11"/>
      <color theme="1"/>
      <name val="Arial"/>
      <family val="2"/>
    </font>
    <font>
      <b/>
      <sz val="14"/>
      <color theme="1"/>
      <name val="Arial"/>
      <family val="2"/>
    </font>
    <font>
      <sz val="14"/>
      <color theme="1"/>
      <name val="Arial"/>
      <family val="2"/>
    </font>
    <font>
      <b/>
      <sz val="12"/>
      <color rgb="FF000000"/>
      <name val="Arial"/>
      <family val="2"/>
    </font>
    <font>
      <b/>
      <sz val="10"/>
      <color theme="1"/>
      <name val="Arial"/>
      <family val="2"/>
    </font>
    <font>
      <b/>
      <sz val="10"/>
      <color rgb="FF000000"/>
      <name val="Arial"/>
      <family val="2"/>
    </font>
    <font>
      <sz val="12"/>
      <color theme="1"/>
      <name val="Arial Narrow"/>
      <family val="2"/>
    </font>
    <font>
      <b/>
      <sz val="12"/>
      <color theme="1"/>
      <name val="Arial Narrow"/>
      <family val="2"/>
    </font>
    <font>
      <sz val="14"/>
      <name val="Arial"/>
      <family val="2"/>
    </font>
    <font>
      <vertAlign val="subscript"/>
      <sz val="16"/>
      <color theme="1"/>
      <name val="Arial"/>
      <family val="2"/>
    </font>
    <font>
      <sz val="16"/>
      <color theme="1"/>
      <name val="Arial"/>
      <family val="2"/>
    </font>
    <font>
      <vertAlign val="superscript"/>
      <sz val="18"/>
      <color theme="1"/>
      <name val="Arial"/>
      <family val="2"/>
    </font>
    <font>
      <sz val="12"/>
      <color rgb="FF006100"/>
      <name val="Tahoma"/>
      <family val="2"/>
    </font>
    <font>
      <b/>
      <sz val="9"/>
      <color indexed="81"/>
      <name val="Tahoma"/>
      <family val="2"/>
    </font>
    <font>
      <sz val="9"/>
      <color indexed="81"/>
      <name val="Tahoma"/>
      <family val="2"/>
    </font>
    <font>
      <b/>
      <sz val="18"/>
      <name val="Arial"/>
      <family val="2"/>
    </font>
    <font>
      <b/>
      <sz val="12"/>
      <color theme="0"/>
      <name val="Arial"/>
      <family val="2"/>
    </font>
    <font>
      <b/>
      <sz val="12"/>
      <name val="Arial"/>
      <family val="2"/>
    </font>
    <font>
      <i/>
      <sz val="12"/>
      <color theme="1"/>
      <name val="Arial"/>
      <family val="2"/>
    </font>
    <font>
      <b/>
      <sz val="10"/>
      <name val="Arial"/>
      <family val="2"/>
    </font>
    <font>
      <b/>
      <sz val="10"/>
      <color theme="0"/>
      <name val="Arial"/>
      <family val="2"/>
    </font>
    <font>
      <sz val="10"/>
      <color theme="1"/>
      <name val="Arial"/>
      <family val="2"/>
    </font>
    <font>
      <b/>
      <vertAlign val="subscript"/>
      <sz val="12"/>
      <color theme="1"/>
      <name val="Arial"/>
      <family val="2"/>
    </font>
    <font>
      <b/>
      <sz val="20"/>
      <color theme="0"/>
      <name val="Arial"/>
      <family val="2"/>
    </font>
    <font>
      <b/>
      <sz val="14"/>
      <color theme="0"/>
      <name val="Arial"/>
      <family val="2"/>
    </font>
    <font>
      <b/>
      <sz val="9"/>
      <color theme="1"/>
      <name val="Arial"/>
      <family val="2"/>
    </font>
    <font>
      <b/>
      <sz val="8"/>
      <color theme="1"/>
      <name val="Arial"/>
      <family val="2"/>
    </font>
    <font>
      <b/>
      <sz val="14"/>
      <color rgb="FF000000"/>
      <name val="Arial"/>
      <family val="2"/>
    </font>
    <font>
      <b/>
      <vertAlign val="superscript"/>
      <sz val="14"/>
      <color rgb="FF000000"/>
      <name val="Arial"/>
      <family val="2"/>
    </font>
    <font>
      <u/>
      <sz val="10"/>
      <color theme="1"/>
      <name val="Arial"/>
      <family val="2"/>
    </font>
    <font>
      <b/>
      <vertAlign val="superscript"/>
      <sz val="10"/>
      <color theme="1"/>
      <name val="Arial"/>
      <family val="2"/>
    </font>
    <font>
      <b/>
      <sz val="11"/>
      <color theme="1"/>
      <name val="Arial"/>
      <family val="2"/>
    </font>
    <font>
      <i/>
      <vertAlign val="subscript"/>
      <sz val="12"/>
      <color theme="1"/>
      <name val="Arial"/>
      <family val="2"/>
    </font>
    <font>
      <vertAlign val="subscript"/>
      <sz val="12"/>
      <color theme="1"/>
      <name val="Arial"/>
      <family val="2"/>
    </font>
    <font>
      <vertAlign val="superscript"/>
      <sz val="10"/>
      <color theme="1"/>
      <name val="Arial"/>
      <family val="2"/>
    </font>
    <font>
      <vertAlign val="superscript"/>
      <sz val="14"/>
      <color theme="1"/>
      <name val="Arial"/>
      <family val="2"/>
    </font>
    <font>
      <b/>
      <sz val="11"/>
      <color theme="0"/>
      <name val="Arial"/>
      <family val="2"/>
    </font>
    <font>
      <b/>
      <i/>
      <sz val="11"/>
      <color theme="0"/>
      <name val="Arial"/>
      <family val="2"/>
    </font>
    <font>
      <sz val="10"/>
      <color theme="0"/>
      <name val="Arial"/>
      <family val="2"/>
    </font>
    <font>
      <sz val="11"/>
      <color theme="0"/>
      <name val="Arial"/>
      <family val="2"/>
    </font>
    <font>
      <sz val="10"/>
      <name val="Arial"/>
      <family val="2"/>
    </font>
    <font>
      <b/>
      <i/>
      <sz val="12"/>
      <color theme="1"/>
      <name val="Arial"/>
      <family val="2"/>
    </font>
    <font>
      <b/>
      <i/>
      <vertAlign val="subscript"/>
      <sz val="12"/>
      <color theme="1"/>
      <name val="Arial"/>
      <family val="2"/>
    </font>
    <font>
      <b/>
      <sz val="8"/>
      <color theme="0"/>
      <name val="Arial"/>
      <family val="2"/>
    </font>
    <font>
      <vertAlign val="superscript"/>
      <sz val="10"/>
      <name val="Arial"/>
      <family val="2"/>
    </font>
    <font>
      <sz val="9"/>
      <color theme="1"/>
      <name val="Arial"/>
      <family val="2"/>
    </font>
    <font>
      <b/>
      <sz val="16"/>
      <color theme="0"/>
      <name val="Arial"/>
      <family val="2"/>
    </font>
    <font>
      <b/>
      <sz val="16"/>
      <color theme="1"/>
      <name val="Arial"/>
      <family val="2"/>
    </font>
    <font>
      <sz val="16"/>
      <name val="Arial"/>
      <family val="2"/>
    </font>
    <font>
      <sz val="18"/>
      <name val="Arial"/>
      <family val="2"/>
    </font>
    <font>
      <b/>
      <sz val="7"/>
      <color theme="1"/>
      <name val="Arial"/>
      <family val="2"/>
    </font>
    <font>
      <b/>
      <sz val="9"/>
      <name val="Arial"/>
      <family val="2"/>
    </font>
    <font>
      <b/>
      <sz val="18"/>
      <color theme="1"/>
      <name val="Arial"/>
      <family val="2"/>
    </font>
    <font>
      <b/>
      <vertAlign val="superscript"/>
      <sz val="12"/>
      <color theme="1"/>
      <name val="Arial"/>
      <family val="2"/>
    </font>
    <font>
      <vertAlign val="superscript"/>
      <sz val="12"/>
      <color theme="1"/>
      <name val="Arial"/>
      <family val="2"/>
    </font>
    <font>
      <b/>
      <vertAlign val="subscript"/>
      <sz val="14"/>
      <color theme="0"/>
      <name val="Arial"/>
      <family val="2"/>
    </font>
    <font>
      <b/>
      <sz val="14"/>
      <color rgb="FFFFFFFF"/>
      <name val="Arial"/>
      <family val="2"/>
    </font>
    <font>
      <b/>
      <vertAlign val="subscript"/>
      <sz val="14"/>
      <color rgb="FFFFFFFF"/>
      <name val="Arial"/>
      <family val="2"/>
    </font>
    <font>
      <b/>
      <vertAlign val="superscript"/>
      <sz val="14"/>
      <color rgb="FFFFFFFF"/>
      <name val="Arial"/>
      <family val="2"/>
    </font>
    <font>
      <sz val="14"/>
      <color rgb="FFFFFFFF"/>
      <name val="Arial"/>
      <family val="2"/>
    </font>
    <font>
      <sz val="14"/>
      <color theme="0"/>
      <name val="Arial"/>
      <family val="2"/>
    </font>
    <font>
      <b/>
      <i/>
      <sz val="11"/>
      <color theme="1"/>
      <name val="Arial"/>
      <family val="2"/>
    </font>
    <font>
      <sz val="12"/>
      <name val="Arial Narrow"/>
      <family val="2"/>
    </font>
    <font>
      <sz val="12"/>
      <color theme="0"/>
      <name val="Arial Narrow"/>
      <family val="2"/>
    </font>
    <font>
      <sz val="8"/>
      <color theme="1"/>
      <name val="Arial"/>
      <family val="2"/>
    </font>
    <font>
      <b/>
      <sz val="12"/>
      <name val="Arial Narrow"/>
      <family val="2"/>
    </font>
    <font>
      <sz val="11"/>
      <color theme="1"/>
      <name val="Calibri"/>
      <family val="2"/>
      <scheme val="minor"/>
    </font>
    <font>
      <sz val="18"/>
      <color theme="1"/>
      <name val="Arial"/>
      <family val="2"/>
    </font>
    <font>
      <sz val="12"/>
      <color rgb="FF000000"/>
      <name val="Arial"/>
      <family val="2"/>
    </font>
    <font>
      <b/>
      <sz val="12"/>
      <color theme="0"/>
      <name val="Arial Narrow"/>
      <family val="2"/>
    </font>
    <font>
      <sz val="12"/>
      <name val="Arial"/>
      <family val="2"/>
    </font>
    <font>
      <b/>
      <sz val="14"/>
      <name val="Arial"/>
      <family val="2"/>
    </font>
    <font>
      <b/>
      <vertAlign val="superscript"/>
      <sz val="10"/>
      <name val="Arial"/>
      <family val="2"/>
    </font>
    <font>
      <vertAlign val="superscript"/>
      <sz val="12"/>
      <name val="Arial"/>
      <family val="2"/>
    </font>
    <font>
      <b/>
      <i/>
      <sz val="10"/>
      <name val="Arial"/>
      <family val="2"/>
    </font>
    <font>
      <i/>
      <sz val="10"/>
      <name val="Arial"/>
      <family val="2"/>
    </font>
    <font>
      <sz val="8"/>
      <name val="Arial"/>
      <family val="2"/>
    </font>
    <font>
      <sz val="11"/>
      <name val="Arial Narrow"/>
      <family val="2"/>
    </font>
    <font>
      <sz val="14"/>
      <color rgb="FF595959"/>
      <name val="Calibri"/>
      <family val="2"/>
      <scheme val="minor"/>
    </font>
    <font>
      <sz val="12"/>
      <color theme="0"/>
      <name val="Arial"/>
      <family val="2"/>
    </font>
    <font>
      <b/>
      <i/>
      <sz val="16"/>
      <color theme="0"/>
      <name val="Arial Narrow"/>
      <family val="2"/>
    </font>
    <font>
      <b/>
      <i/>
      <sz val="10"/>
      <color theme="1"/>
      <name val="Arial"/>
      <family val="2"/>
    </font>
    <font>
      <b/>
      <i/>
      <vertAlign val="superscript"/>
      <sz val="10"/>
      <name val="Arial"/>
      <family val="2"/>
    </font>
    <font>
      <i/>
      <sz val="10"/>
      <color theme="1"/>
      <name val="Arial"/>
      <family val="2"/>
    </font>
    <font>
      <b/>
      <i/>
      <sz val="12"/>
      <name val="Arial"/>
      <family val="2"/>
    </font>
    <font>
      <b/>
      <i/>
      <vertAlign val="superscript"/>
      <sz val="12"/>
      <name val="Arial"/>
      <family val="2"/>
    </font>
    <font>
      <b/>
      <i/>
      <sz val="14"/>
      <color theme="0"/>
      <name val="Arial"/>
      <family val="2"/>
    </font>
    <font>
      <b/>
      <i/>
      <sz val="12"/>
      <color theme="0"/>
      <name val="Arial"/>
      <family val="2"/>
    </font>
    <font>
      <b/>
      <i/>
      <sz val="14"/>
      <color theme="1"/>
      <name val="Arial"/>
      <family val="2"/>
    </font>
    <font>
      <b/>
      <i/>
      <vertAlign val="superscript"/>
      <sz val="12"/>
      <color theme="1"/>
      <name val="Arial"/>
      <family val="2"/>
    </font>
    <font>
      <b/>
      <i/>
      <sz val="16"/>
      <name val="Arial"/>
      <family val="2"/>
    </font>
    <font>
      <b/>
      <sz val="11"/>
      <name val="Arial Narrow"/>
      <family val="2"/>
    </font>
    <font>
      <sz val="11"/>
      <name val="Arial"/>
      <family val="2"/>
    </font>
    <font>
      <b/>
      <i/>
      <sz val="11"/>
      <name val="Arial"/>
      <family val="2"/>
    </font>
    <font>
      <i/>
      <sz val="11"/>
      <name val="Arial"/>
      <family val="2"/>
    </font>
    <font>
      <b/>
      <sz val="11"/>
      <name val="Arial"/>
      <family val="2"/>
    </font>
    <font>
      <i/>
      <sz val="12"/>
      <name val="Arial Narrow"/>
      <family val="2"/>
    </font>
    <font>
      <b/>
      <i/>
      <sz val="12"/>
      <name val="Arial Narrow"/>
      <family val="2"/>
    </font>
    <font>
      <sz val="11"/>
      <name val="Calibri"/>
      <family val="2"/>
      <scheme val="minor"/>
    </font>
    <font>
      <sz val="10"/>
      <color theme="0"/>
      <name val="Arial Narrow"/>
      <family val="2"/>
    </font>
    <font>
      <sz val="11"/>
      <color theme="0"/>
      <name val="Arial Narrow"/>
      <family val="2"/>
    </font>
    <font>
      <vertAlign val="superscript"/>
      <sz val="12"/>
      <color theme="0"/>
      <name val="Arial Narrow"/>
      <family val="2"/>
    </font>
    <font>
      <b/>
      <sz val="9"/>
      <color theme="0"/>
      <name val="Arial Narrow"/>
      <family val="2"/>
    </font>
  </fonts>
  <fills count="3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rgb="FF9BC2E6"/>
        <bgColor indexed="64"/>
      </patternFill>
    </fill>
    <fill>
      <patternFill patternType="solid">
        <fgColor rgb="FFFCE4D6"/>
        <bgColor indexed="64"/>
      </patternFill>
    </fill>
    <fill>
      <patternFill patternType="solid">
        <fgColor rgb="FFDDEBF7"/>
        <bgColor indexed="64"/>
      </patternFill>
    </fill>
    <fill>
      <patternFill patternType="solid">
        <fgColor theme="7" tint="0.39997558519241921"/>
        <bgColor indexed="64"/>
      </patternFill>
    </fill>
    <fill>
      <patternFill patternType="solid">
        <fgColor rgb="FF1F4E78"/>
        <bgColor indexed="64"/>
      </patternFill>
    </fill>
    <fill>
      <patternFill patternType="solid">
        <fgColor rgb="FFFF0000"/>
        <bgColor indexed="64"/>
      </patternFill>
    </fill>
    <fill>
      <patternFill patternType="solid">
        <fgColor rgb="FFC6EFCE"/>
      </patternFill>
    </fill>
    <fill>
      <patternFill patternType="solid">
        <fgColor rgb="FFF2DCDB"/>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70C0"/>
        <bgColor indexed="64"/>
      </patternFill>
    </fill>
    <fill>
      <patternFill patternType="solid">
        <fgColor rgb="FF538DD5"/>
        <bgColor indexed="64"/>
      </patternFill>
    </fill>
    <fill>
      <patternFill patternType="solid">
        <fgColor rgb="FF91C6F7"/>
        <bgColor indexed="64"/>
      </patternFill>
    </fill>
    <fill>
      <patternFill patternType="solid">
        <fgColor rgb="FFC8E2FB"/>
        <bgColor indexed="64"/>
      </patternFill>
    </fill>
    <fill>
      <patternFill patternType="solid">
        <fgColor rgb="FF81B0E4"/>
        <bgColor indexed="64"/>
      </patternFill>
    </fill>
    <fill>
      <patternFill patternType="darkGray">
        <bgColor rgb="FFFFFF00"/>
      </patternFill>
    </fill>
    <fill>
      <gradientFill degree="90">
        <stop position="0">
          <color theme="0"/>
        </stop>
        <stop position="1">
          <color rgb="FFFFFF00"/>
        </stop>
      </gradientFill>
    </fill>
    <fill>
      <gradientFill type="path" left="1" right="1">
        <stop position="0">
          <color rgb="FF7030A0"/>
        </stop>
        <stop position="1">
          <color rgb="FFFFFF00"/>
        </stop>
      </gradientFill>
    </fill>
    <fill>
      <patternFill patternType="solid">
        <fgColor rgb="FF073763"/>
        <bgColor indexed="64"/>
      </patternFill>
    </fill>
    <fill>
      <patternFill patternType="solid">
        <fgColor rgb="FF5FF3CB"/>
        <bgColor indexed="64"/>
      </patternFill>
    </fill>
    <fill>
      <patternFill patternType="solid">
        <fgColor theme="0"/>
        <bgColor auto="1"/>
      </patternFill>
    </fill>
    <fill>
      <patternFill patternType="solid">
        <fgColor theme="9" tint="0.59999389629810485"/>
        <bgColor indexed="64"/>
      </patternFill>
    </fill>
    <fill>
      <patternFill patternType="solid">
        <fgColor rgb="FF8DB4E2"/>
        <bgColor indexed="64"/>
      </patternFill>
    </fill>
    <fill>
      <patternFill patternType="solid">
        <fgColor rgb="FFAEAAAA"/>
        <bgColor indexed="64"/>
      </patternFill>
    </fill>
  </fills>
  <borders count="10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diagonal/>
    </border>
    <border diagonalUp="1" diagonalDown="1">
      <left style="thin">
        <color indexed="64"/>
      </left>
      <right style="medium">
        <color indexed="64"/>
      </right>
      <top style="thin">
        <color indexed="64"/>
      </top>
      <bottom style="thin">
        <color indexed="64"/>
      </bottom>
      <diagonal style="dashed">
        <color indexed="64"/>
      </diagonal>
    </border>
    <border diagonalUp="1" diagonalDown="1">
      <left style="thin">
        <color indexed="64"/>
      </left>
      <right style="thin">
        <color indexed="64"/>
      </right>
      <top style="thin">
        <color indexed="64"/>
      </top>
      <bottom style="thin">
        <color indexed="64"/>
      </bottom>
      <diagonal style="dashed">
        <color indexed="64"/>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medium">
        <color indexed="64"/>
      </left>
      <right style="medium">
        <color indexed="64"/>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style="medium">
        <color indexed="64"/>
      </bottom>
      <diagonal style="medium">
        <color indexed="64"/>
      </diagonal>
    </border>
    <border diagonalUp="1">
      <left style="medium">
        <color indexed="64"/>
      </left>
      <right/>
      <top style="medium">
        <color indexed="64"/>
      </top>
      <bottom style="medium">
        <color indexed="64"/>
      </bottom>
      <diagonal style="medium">
        <color indexed="64"/>
      </diagonal>
    </border>
    <border diagonalDown="1">
      <left style="medium">
        <color indexed="64"/>
      </left>
      <right style="medium">
        <color indexed="64"/>
      </right>
      <top style="medium">
        <color indexed="64"/>
      </top>
      <bottom style="medium">
        <color indexed="64"/>
      </bottom>
      <diagonal style="medium">
        <color indexed="64"/>
      </diagonal>
    </border>
    <border diagonalDown="1">
      <left style="medium">
        <color indexed="64"/>
      </left>
      <right/>
      <top style="medium">
        <color indexed="64"/>
      </top>
      <bottom/>
      <diagonal style="medium">
        <color indexed="64"/>
      </diagonal>
    </border>
    <border diagonalDown="1">
      <left/>
      <right/>
      <top style="medium">
        <color indexed="64"/>
      </top>
      <bottom/>
      <diagonal style="medium">
        <color indexed="64"/>
      </diagonal>
    </border>
    <border diagonalDown="1">
      <left/>
      <right style="medium">
        <color indexed="64"/>
      </right>
      <top style="medium">
        <color indexed="64"/>
      </top>
      <bottom/>
      <diagonal style="medium">
        <color indexed="64"/>
      </diagonal>
    </border>
    <border diagonalDown="1">
      <left style="medium">
        <color indexed="64"/>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style="medium">
        <color indexed="64"/>
      </left>
      <right/>
      <top/>
      <bottom/>
      <diagonal style="medium">
        <color indexed="64"/>
      </diagonal>
    </border>
    <border diagonalDown="1">
      <left/>
      <right/>
      <top/>
      <bottom/>
      <diagonal style="medium">
        <color indexed="64"/>
      </diagonal>
    </border>
    <border diagonalDown="1">
      <left/>
      <right style="medium">
        <color indexed="64"/>
      </right>
      <top/>
      <bottom/>
      <diagonal style="medium">
        <color indexed="64"/>
      </diagonal>
    </border>
    <border diagonalDown="1">
      <left style="medium">
        <color indexed="64"/>
      </left>
      <right/>
      <top/>
      <bottom style="medium">
        <color indexed="64"/>
      </bottom>
      <diagonal style="medium">
        <color indexed="64"/>
      </diagonal>
    </border>
    <border diagonalDown="1">
      <left/>
      <right style="medium">
        <color indexed="64"/>
      </right>
      <top/>
      <bottom style="medium">
        <color indexed="64"/>
      </bottom>
      <diagonal style="medium">
        <color indexed="64"/>
      </diagonal>
    </border>
    <border diagonalDown="1">
      <left style="medium">
        <color indexed="64"/>
      </left>
      <right style="medium">
        <color indexed="64"/>
      </right>
      <top/>
      <bottom style="medium">
        <color indexed="64"/>
      </bottom>
      <diagonal style="medium">
        <color indexed="64"/>
      </diagonal>
    </border>
  </borders>
  <cellStyleXfs count="9">
    <xf numFmtId="0" fontId="0" fillId="0" borderId="0"/>
    <xf numFmtId="0" fontId="15" fillId="11" borderId="0" applyNumberFormat="0" applyBorder="0" applyAlignment="0" applyProtection="0"/>
    <xf numFmtId="0" fontId="24" fillId="23" borderId="8">
      <alignment horizontal="center" vertical="center" wrapText="1"/>
    </xf>
    <xf numFmtId="0" fontId="24" fillId="15" borderId="8">
      <alignment horizontal="center" vertical="center" wrapText="1"/>
    </xf>
    <xf numFmtId="0" fontId="24" fillId="24" borderId="8">
      <alignment horizontal="center" vertical="center" wrapText="1"/>
    </xf>
    <xf numFmtId="0" fontId="9" fillId="2" borderId="0">
      <alignment horizontal="center"/>
    </xf>
    <xf numFmtId="0" fontId="9" fillId="25" borderId="0">
      <alignment horizontal="center"/>
    </xf>
    <xf numFmtId="0" fontId="24" fillId="10" borderId="9">
      <alignment horizontal="center"/>
    </xf>
    <xf numFmtId="9" fontId="69" fillId="0" borderId="0" applyFont="0" applyFill="0" applyBorder="0" applyAlignment="0" applyProtection="0"/>
  </cellStyleXfs>
  <cellXfs count="1764">
    <xf numFmtId="0" fontId="0" fillId="0" borderId="0" xfId="0"/>
    <xf numFmtId="0" fontId="24" fillId="2" borderId="7" xfId="0" applyFont="1" applyFill="1" applyBorder="1" applyAlignment="1" applyProtection="1">
      <alignment vertical="center" wrapText="1"/>
      <protection hidden="1"/>
    </xf>
    <xf numFmtId="0" fontId="24" fillId="0" borderId="0" xfId="0" applyFont="1" applyAlignment="1" applyProtection="1">
      <alignment vertical="center" wrapText="1"/>
      <protection hidden="1"/>
    </xf>
    <xf numFmtId="0" fontId="24"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wrapText="1"/>
      <protection hidden="1"/>
    </xf>
    <xf numFmtId="0" fontId="26" fillId="0" borderId="0" xfId="0" applyFont="1" applyFill="1" applyBorder="1" applyAlignment="1" applyProtection="1">
      <alignment horizontal="center" vertical="center" wrapText="1"/>
      <protection hidden="1"/>
    </xf>
    <xf numFmtId="0" fontId="24" fillId="0" borderId="0" xfId="0" applyFont="1" applyFill="1" applyAlignment="1" applyProtection="1">
      <alignment vertical="center" wrapText="1"/>
      <protection hidden="1"/>
    </xf>
    <xf numFmtId="0" fontId="24" fillId="2" borderId="0" xfId="0" applyFont="1" applyFill="1" applyAlignment="1" applyProtection="1">
      <alignment vertical="center" wrapText="1"/>
      <protection hidden="1"/>
    </xf>
    <xf numFmtId="0" fontId="24" fillId="2" borderId="0" xfId="0" applyFont="1" applyFill="1" applyBorder="1" applyAlignment="1" applyProtection="1">
      <alignment horizontal="center" vertical="center" wrapText="1"/>
      <protection hidden="1"/>
    </xf>
    <xf numFmtId="0" fontId="24" fillId="0" borderId="0" xfId="0" applyFont="1" applyBorder="1" applyAlignment="1" applyProtection="1">
      <alignment vertical="center" wrapText="1"/>
      <protection hidden="1"/>
    </xf>
    <xf numFmtId="0" fontId="24" fillId="2" borderId="0" xfId="0" applyFont="1" applyFill="1" applyBorder="1" applyAlignment="1" applyProtection="1">
      <alignment vertical="center" wrapText="1"/>
      <protection hidden="1"/>
    </xf>
    <xf numFmtId="0" fontId="32" fillId="2" borderId="0" xfId="0" applyFont="1" applyFill="1" applyBorder="1" applyAlignment="1" applyProtection="1">
      <alignment vertical="center" wrapText="1"/>
      <protection hidden="1"/>
    </xf>
    <xf numFmtId="2" fontId="24" fillId="7" borderId="9" xfId="0" applyNumberFormat="1" applyFont="1" applyFill="1" applyBorder="1" applyAlignment="1" applyProtection="1">
      <alignment horizontal="center" vertical="center" wrapText="1"/>
      <protection hidden="1"/>
    </xf>
    <xf numFmtId="0" fontId="24" fillId="7" borderId="46" xfId="0" applyFont="1" applyFill="1" applyBorder="1" applyAlignment="1" applyProtection="1">
      <alignment horizontal="center" vertical="center" wrapText="1"/>
      <protection hidden="1"/>
    </xf>
    <xf numFmtId="0" fontId="3" fillId="2" borderId="0" xfId="0" applyFont="1" applyFill="1" applyAlignment="1" applyProtection="1">
      <alignment vertical="center" wrapText="1"/>
      <protection hidden="1"/>
    </xf>
    <xf numFmtId="0" fontId="3" fillId="2" borderId="0" xfId="0" applyFont="1" applyFill="1" applyBorder="1" applyAlignment="1" applyProtection="1">
      <alignment vertical="center" wrapText="1"/>
      <protection hidden="1"/>
    </xf>
    <xf numFmtId="0" fontId="34" fillId="5" borderId="34" xfId="0" applyFont="1" applyFill="1" applyBorder="1" applyAlignment="1" applyProtection="1">
      <alignment horizontal="center" vertical="center" wrapText="1"/>
      <protection hidden="1"/>
    </xf>
    <xf numFmtId="0" fontId="3" fillId="0" borderId="0" xfId="0" applyFont="1" applyAlignment="1" applyProtection="1">
      <alignment vertical="center" wrapText="1"/>
      <protection hidden="1"/>
    </xf>
    <xf numFmtId="0" fontId="3" fillId="2" borderId="19" xfId="0" applyFont="1" applyFill="1" applyBorder="1" applyAlignment="1" applyProtection="1">
      <alignment horizontal="center" vertical="center" wrapText="1"/>
      <protection hidden="1"/>
    </xf>
    <xf numFmtId="0" fontId="7" fillId="5" borderId="47" xfId="0" applyFont="1" applyFill="1" applyBorder="1" applyAlignment="1" applyProtection="1">
      <alignment horizontal="center" vertical="center" wrapText="1"/>
      <protection hidden="1"/>
    </xf>
    <xf numFmtId="166" fontId="24" fillId="7" borderId="57" xfId="0" applyNumberFormat="1" applyFont="1" applyFill="1" applyBorder="1" applyAlignment="1" applyProtection="1">
      <alignment horizontal="center" vertical="center" wrapText="1"/>
      <protection hidden="1"/>
    </xf>
    <xf numFmtId="0" fontId="13" fillId="2" borderId="0" xfId="0" applyFont="1" applyFill="1" applyBorder="1" applyAlignment="1" applyProtection="1">
      <alignment vertical="center" wrapText="1"/>
      <protection hidden="1"/>
    </xf>
    <xf numFmtId="2" fontId="24" fillId="7" borderId="36" xfId="0" applyNumberFormat="1" applyFont="1" applyFill="1" applyBorder="1" applyAlignment="1" applyProtection="1">
      <alignment horizontal="center" vertical="center" wrapText="1"/>
      <protection hidden="1"/>
    </xf>
    <xf numFmtId="11" fontId="24" fillId="7" borderId="9" xfId="0" applyNumberFormat="1" applyFont="1" applyFill="1" applyBorder="1" applyAlignment="1" applyProtection="1">
      <alignment horizontal="center" vertical="center" wrapText="1"/>
      <protection hidden="1"/>
    </xf>
    <xf numFmtId="0" fontId="19" fillId="9" borderId="49" xfId="0" applyFont="1" applyFill="1" applyBorder="1" applyAlignment="1" applyProtection="1">
      <alignment horizontal="center" vertical="center" wrapText="1"/>
      <protection hidden="1"/>
    </xf>
    <xf numFmtId="11" fontId="24" fillId="5" borderId="48" xfId="0" applyNumberFormat="1" applyFont="1" applyFill="1" applyBorder="1" applyAlignment="1" applyProtection="1">
      <alignment horizontal="center" vertical="center" wrapText="1"/>
      <protection hidden="1"/>
    </xf>
    <xf numFmtId="0" fontId="24" fillId="5" borderId="63" xfId="0" applyFont="1" applyFill="1" applyBorder="1" applyAlignment="1" applyProtection="1">
      <alignment horizontal="center" vertical="center" wrapText="1"/>
      <protection hidden="1"/>
    </xf>
    <xf numFmtId="0" fontId="24" fillId="2" borderId="28" xfId="0" applyFont="1" applyFill="1" applyBorder="1" applyAlignment="1" applyProtection="1">
      <alignment vertical="center" wrapText="1"/>
      <protection hidden="1"/>
    </xf>
    <xf numFmtId="0" fontId="24" fillId="2" borderId="13" xfId="0" applyFont="1" applyFill="1" applyBorder="1" applyAlignment="1" applyProtection="1">
      <alignment vertical="center" wrapText="1"/>
      <protection hidden="1"/>
    </xf>
    <xf numFmtId="0" fontId="24" fillId="2" borderId="14" xfId="0" applyFont="1" applyFill="1" applyBorder="1" applyAlignment="1" applyProtection="1">
      <alignment vertical="center" wrapText="1"/>
      <protection hidden="1"/>
    </xf>
    <xf numFmtId="0" fontId="23" fillId="2" borderId="0" xfId="0" applyFont="1" applyFill="1" applyBorder="1" applyAlignment="1" applyProtection="1">
      <alignment horizontal="center" vertical="center" wrapText="1"/>
      <protection hidden="1"/>
    </xf>
    <xf numFmtId="0" fontId="41" fillId="2" borderId="0" xfId="0" applyFont="1" applyFill="1" applyBorder="1" applyAlignment="1" applyProtection="1">
      <alignment horizontal="center" vertical="center" wrapText="1"/>
      <protection hidden="1"/>
    </xf>
    <xf numFmtId="0" fontId="24" fillId="2" borderId="10" xfId="0" applyFont="1" applyFill="1" applyBorder="1" applyAlignment="1" applyProtection="1">
      <alignment vertical="center" wrapText="1"/>
      <protection hidden="1"/>
    </xf>
    <xf numFmtId="0" fontId="24" fillId="2" borderId="34" xfId="0" applyFont="1" applyFill="1" applyBorder="1" applyAlignment="1" applyProtection="1">
      <alignment vertical="center" wrapText="1"/>
      <protection hidden="1"/>
    </xf>
    <xf numFmtId="0" fontId="24" fillId="2" borderId="9" xfId="0" applyFont="1" applyFill="1" applyBorder="1" applyAlignment="1" applyProtection="1">
      <alignment vertical="center" wrapText="1"/>
      <protection hidden="1"/>
    </xf>
    <xf numFmtId="0" fontId="24" fillId="2" borderId="36" xfId="0" applyFont="1" applyFill="1" applyBorder="1" applyAlignment="1" applyProtection="1">
      <alignment vertical="center" wrapText="1"/>
      <protection hidden="1"/>
    </xf>
    <xf numFmtId="0" fontId="41" fillId="5" borderId="34" xfId="0" applyFont="1" applyFill="1" applyBorder="1" applyAlignment="1" applyProtection="1">
      <alignment horizontal="center" vertical="center" wrapText="1"/>
      <protection hidden="1"/>
    </xf>
    <xf numFmtId="0" fontId="41" fillId="0" borderId="69" xfId="0" applyFont="1" applyFill="1" applyBorder="1" applyAlignment="1" applyProtection="1">
      <alignment horizontal="center" vertical="center" wrapText="1"/>
      <protection hidden="1"/>
    </xf>
    <xf numFmtId="166" fontId="24" fillId="7" borderId="9" xfId="0" applyNumberFormat="1" applyFont="1" applyFill="1" applyBorder="1" applyAlignment="1" applyProtection="1">
      <alignment horizontal="center" vertical="center" wrapText="1"/>
      <protection hidden="1"/>
    </xf>
    <xf numFmtId="0" fontId="41" fillId="0" borderId="70" xfId="0" applyFont="1" applyFill="1" applyBorder="1" applyAlignment="1" applyProtection="1">
      <alignment horizontal="center" vertical="center" wrapText="1"/>
      <protection hidden="1"/>
    </xf>
    <xf numFmtId="166" fontId="24" fillId="7" borderId="36" xfId="0" applyNumberFormat="1" applyFont="1" applyFill="1" applyBorder="1" applyAlignment="1" applyProtection="1">
      <alignment horizontal="center" vertical="center" wrapText="1"/>
      <protection hidden="1"/>
    </xf>
    <xf numFmtId="0" fontId="24" fillId="5" borderId="34" xfId="0" applyFont="1" applyFill="1" applyBorder="1" applyAlignment="1" applyProtection="1">
      <alignment vertical="center" wrapText="1"/>
      <protection hidden="1"/>
    </xf>
    <xf numFmtId="0" fontId="24" fillId="7" borderId="36" xfId="0" applyFont="1" applyFill="1" applyBorder="1" applyAlignment="1" applyProtection="1">
      <alignment horizontal="center" vertical="center" wrapText="1"/>
      <protection hidden="1"/>
    </xf>
    <xf numFmtId="0" fontId="41" fillId="2" borderId="34" xfId="0" applyFont="1" applyFill="1" applyBorder="1" applyAlignment="1" applyProtection="1">
      <alignment horizontal="center" vertical="center" wrapText="1"/>
      <protection hidden="1"/>
    </xf>
    <xf numFmtId="11" fontId="24" fillId="7" borderId="36" xfId="0" applyNumberFormat="1" applyFont="1" applyFill="1" applyBorder="1" applyAlignment="1" applyProtection="1">
      <alignment horizontal="center" vertical="center" wrapText="1"/>
      <protection hidden="1"/>
    </xf>
    <xf numFmtId="0" fontId="41" fillId="5" borderId="45" xfId="0" applyFont="1" applyFill="1" applyBorder="1" applyAlignment="1" applyProtection="1">
      <alignment horizontal="center" vertical="center" wrapText="1"/>
      <protection hidden="1"/>
    </xf>
    <xf numFmtId="0" fontId="24" fillId="7" borderId="39" xfId="0" applyFont="1" applyFill="1" applyBorder="1" applyAlignment="1" applyProtection="1">
      <alignment horizontal="center" vertical="center" wrapText="1"/>
      <protection hidden="1"/>
    </xf>
    <xf numFmtId="0" fontId="41" fillId="2" borderId="0" xfId="0" applyFont="1" applyFill="1" applyBorder="1" applyAlignment="1" applyProtection="1">
      <alignment vertical="center" wrapText="1"/>
      <protection hidden="1"/>
    </xf>
    <xf numFmtId="0" fontId="43" fillId="7" borderId="9" xfId="0" applyFont="1" applyFill="1" applyBorder="1" applyAlignment="1" applyProtection="1">
      <alignment horizontal="center" vertical="center" wrapText="1"/>
      <protection hidden="1"/>
    </xf>
    <xf numFmtId="0" fontId="43" fillId="5" borderId="9" xfId="0" applyFont="1" applyFill="1" applyBorder="1" applyAlignment="1" applyProtection="1">
      <alignment horizontal="center" vertical="center" wrapText="1"/>
      <protection hidden="1"/>
    </xf>
    <xf numFmtId="0" fontId="43" fillId="5" borderId="36" xfId="0" applyFont="1" applyFill="1" applyBorder="1" applyAlignment="1" applyProtection="1">
      <alignment horizontal="center" vertical="center" wrapText="1"/>
      <protection hidden="1"/>
    </xf>
    <xf numFmtId="0" fontId="43" fillId="5" borderId="46" xfId="0" applyFont="1" applyFill="1" applyBorder="1" applyAlignment="1" applyProtection="1">
      <alignment horizontal="center" vertical="center" wrapText="1"/>
      <protection hidden="1"/>
    </xf>
    <xf numFmtId="0" fontId="43" fillId="7" borderId="46" xfId="0" applyFont="1" applyFill="1" applyBorder="1" applyAlignment="1" applyProtection="1">
      <alignment horizontal="center" vertical="center" wrapText="1"/>
      <protection hidden="1"/>
    </xf>
    <xf numFmtId="0" fontId="43" fillId="5" borderId="39" xfId="0" applyFont="1" applyFill="1" applyBorder="1" applyAlignment="1" applyProtection="1">
      <alignment horizontal="center" vertical="center" wrapText="1"/>
      <protection hidden="1"/>
    </xf>
    <xf numFmtId="0" fontId="34" fillId="0" borderId="0" xfId="0" applyFont="1" applyFill="1" applyBorder="1" applyAlignment="1" applyProtection="1">
      <alignment vertical="center" wrapText="1"/>
      <protection hidden="1"/>
    </xf>
    <xf numFmtId="0" fontId="24" fillId="10" borderId="0" xfId="0" applyFont="1" applyFill="1" applyAlignment="1" applyProtection="1">
      <alignment vertical="center" wrapText="1"/>
      <protection hidden="1"/>
    </xf>
    <xf numFmtId="0" fontId="43" fillId="7" borderId="42" xfId="0" applyFont="1" applyFill="1" applyBorder="1" applyAlignment="1" applyProtection="1">
      <alignment horizontal="center" vertical="center" wrapText="1"/>
      <protection hidden="1"/>
    </xf>
    <xf numFmtId="0" fontId="43" fillId="5" borderId="42" xfId="0" applyFont="1" applyFill="1" applyBorder="1" applyAlignment="1" applyProtection="1">
      <alignment horizontal="center" vertical="center" wrapText="1"/>
      <protection hidden="1"/>
    </xf>
    <xf numFmtId="0" fontId="43" fillId="5" borderId="43" xfId="0" applyFont="1" applyFill="1" applyBorder="1" applyAlignment="1" applyProtection="1">
      <alignment horizontal="center" vertical="center" wrapText="1"/>
      <protection hidden="1"/>
    </xf>
    <xf numFmtId="0" fontId="50" fillId="0" borderId="0" xfId="0" applyFont="1" applyFill="1" applyBorder="1" applyAlignment="1" applyProtection="1">
      <alignment vertical="center" wrapText="1"/>
      <protection hidden="1"/>
    </xf>
    <xf numFmtId="0" fontId="50" fillId="2" borderId="0" xfId="0" applyFont="1" applyFill="1" applyBorder="1" applyAlignment="1" applyProtection="1">
      <alignment vertical="center" wrapText="1"/>
      <protection hidden="1"/>
    </xf>
    <xf numFmtId="2" fontId="24" fillId="2" borderId="0" xfId="0" applyNumberFormat="1" applyFont="1" applyFill="1" applyAlignment="1" applyProtection="1">
      <alignment horizontal="center" vertical="center" wrapText="1"/>
      <protection hidden="1"/>
    </xf>
    <xf numFmtId="167" fontId="24" fillId="2" borderId="0" xfId="0" applyNumberFormat="1" applyFont="1" applyFill="1" applyAlignment="1" applyProtection="1">
      <alignment vertical="center" wrapText="1"/>
      <protection hidden="1"/>
    </xf>
    <xf numFmtId="0" fontId="49" fillId="2" borderId="0" xfId="0" applyFont="1" applyFill="1" applyBorder="1" applyAlignment="1" applyProtection="1">
      <alignment vertical="center" wrapText="1"/>
      <protection hidden="1"/>
    </xf>
    <xf numFmtId="0" fontId="3" fillId="0" borderId="0" xfId="0" applyFont="1" applyProtection="1">
      <protection hidden="1"/>
    </xf>
    <xf numFmtId="2" fontId="54" fillId="17" borderId="9" xfId="1" applyNumberFormat="1" applyFont="1" applyFill="1" applyBorder="1" applyAlignment="1" applyProtection="1">
      <alignment horizontal="center" vertical="center" wrapText="1"/>
      <protection hidden="1"/>
    </xf>
    <xf numFmtId="2" fontId="22" fillId="17" borderId="9" xfId="1" applyNumberFormat="1" applyFont="1" applyFill="1" applyBorder="1" applyAlignment="1" applyProtection="1">
      <alignment horizontal="center" vertical="center" wrapText="1"/>
      <protection hidden="1"/>
    </xf>
    <xf numFmtId="0" fontId="7" fillId="5" borderId="9" xfId="0" applyFont="1" applyFill="1" applyBorder="1" applyAlignment="1" applyProtection="1">
      <alignment horizontal="left" vertical="center" wrapText="1"/>
      <protection hidden="1"/>
    </xf>
    <xf numFmtId="0" fontId="7" fillId="5" borderId="46" xfId="0" applyFont="1" applyFill="1" applyBorder="1" applyAlignment="1" applyProtection="1">
      <alignment horizontal="left" vertical="center" wrapText="1"/>
      <protection hidden="1"/>
    </xf>
    <xf numFmtId="0" fontId="7" fillId="5" borderId="42" xfId="0" applyFont="1" applyFill="1" applyBorder="1" applyAlignment="1" applyProtection="1">
      <alignment horizontal="left" vertical="center" wrapText="1"/>
      <protection hidden="1"/>
    </xf>
    <xf numFmtId="0" fontId="7" fillId="5" borderId="43" xfId="0" applyFont="1" applyFill="1" applyBorder="1" applyAlignment="1" applyProtection="1">
      <alignment horizontal="center" vertical="center" wrapText="1"/>
      <protection hidden="1"/>
    </xf>
    <xf numFmtId="0" fontId="7" fillId="5" borderId="36" xfId="0" applyFont="1" applyFill="1" applyBorder="1" applyAlignment="1" applyProtection="1">
      <alignment horizontal="center" vertical="center" wrapText="1"/>
      <protection hidden="1"/>
    </xf>
    <xf numFmtId="0" fontId="24" fillId="7" borderId="9" xfId="0" applyFont="1" applyFill="1" applyBorder="1" applyAlignment="1" applyProtection="1">
      <alignment horizontal="center" vertical="center" wrapText="1"/>
      <protection hidden="1"/>
    </xf>
    <xf numFmtId="2" fontId="20" fillId="17" borderId="22" xfId="1" applyNumberFormat="1" applyFont="1" applyFill="1" applyBorder="1" applyAlignment="1" applyProtection="1">
      <alignment horizontal="center" vertical="center" wrapText="1"/>
      <protection hidden="1"/>
    </xf>
    <xf numFmtId="2" fontId="20" fillId="0" borderId="3" xfId="1" applyNumberFormat="1" applyFont="1" applyFill="1" applyBorder="1" applyAlignment="1" applyProtection="1">
      <alignment horizontal="center" vertical="center" wrapText="1"/>
      <protection hidden="1"/>
    </xf>
    <xf numFmtId="164" fontId="24" fillId="7" borderId="36" xfId="0" applyNumberFormat="1" applyFont="1" applyFill="1" applyBorder="1" applyAlignment="1" applyProtection="1">
      <alignment horizontal="center" vertical="center" wrapText="1"/>
      <protection hidden="1"/>
    </xf>
    <xf numFmtId="2" fontId="24" fillId="7" borderId="34" xfId="0" applyNumberFormat="1" applyFont="1" applyFill="1" applyBorder="1" applyAlignment="1" applyProtection="1">
      <alignment horizontal="center" vertical="center" wrapText="1"/>
      <protection hidden="1"/>
    </xf>
    <xf numFmtId="166" fontId="24" fillId="7" borderId="46" xfId="0" applyNumberFormat="1" applyFont="1" applyFill="1" applyBorder="1" applyAlignment="1" applyProtection="1">
      <alignment horizontal="center" vertical="center"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167" fontId="43" fillId="7" borderId="46" xfId="0" applyNumberFormat="1" applyFont="1" applyFill="1" applyBorder="1" applyAlignment="1" applyProtection="1">
      <alignment horizontal="center" vertical="center" wrapText="1"/>
      <protection hidden="1"/>
    </xf>
    <xf numFmtId="0" fontId="24" fillId="0" borderId="10" xfId="0" applyFont="1" applyBorder="1" applyAlignment="1" applyProtection="1">
      <alignment vertical="center" wrapText="1"/>
      <protection hidden="1"/>
    </xf>
    <xf numFmtId="0" fontId="24" fillId="0" borderId="51" xfId="0" applyFont="1" applyBorder="1" applyAlignment="1" applyProtection="1">
      <alignment vertical="center" wrapText="1"/>
      <protection hidden="1"/>
    </xf>
    <xf numFmtId="0" fontId="24" fillId="2" borderId="51" xfId="0" applyFont="1" applyFill="1" applyBorder="1" applyAlignment="1" applyProtection="1">
      <alignment vertical="center" wrapText="1"/>
      <protection hidden="1"/>
    </xf>
    <xf numFmtId="0" fontId="50" fillId="2" borderId="60" xfId="0" applyFont="1" applyFill="1" applyBorder="1" applyAlignment="1" applyProtection="1">
      <alignment horizontal="center" vertical="center" wrapText="1"/>
      <protection hidden="1"/>
    </xf>
    <xf numFmtId="0" fontId="50" fillId="2" borderId="61" xfId="0" applyFont="1" applyFill="1" applyBorder="1" applyAlignment="1" applyProtection="1">
      <alignment horizontal="center" vertical="center" wrapText="1"/>
      <protection hidden="1"/>
    </xf>
    <xf numFmtId="2" fontId="54" fillId="17" borderId="19" xfId="1" applyNumberFormat="1" applyFont="1" applyFill="1" applyBorder="1" applyAlignment="1" applyProtection="1">
      <alignment horizontal="center" vertical="center"/>
      <protection hidden="1"/>
    </xf>
    <xf numFmtId="2" fontId="54" fillId="17" borderId="22" xfId="1" applyNumberFormat="1" applyFont="1" applyFill="1" applyBorder="1" applyAlignment="1" applyProtection="1">
      <alignment horizontal="center" vertical="center" wrapText="1"/>
      <protection hidden="1"/>
    </xf>
    <xf numFmtId="2" fontId="22" fillId="17" borderId="22" xfId="1" applyNumberFormat="1" applyFont="1" applyFill="1" applyBorder="1" applyAlignment="1" applyProtection="1">
      <alignment horizontal="center" vertical="center" wrapText="1"/>
      <protection hidden="1"/>
    </xf>
    <xf numFmtId="164" fontId="24" fillId="7" borderId="34" xfId="0" applyNumberFormat="1" applyFont="1" applyFill="1" applyBorder="1" applyAlignment="1" applyProtection="1">
      <alignment horizontal="center" vertical="center" wrapText="1"/>
      <protection hidden="1"/>
    </xf>
    <xf numFmtId="2" fontId="24" fillId="7" borderId="45" xfId="0" applyNumberFormat="1" applyFont="1" applyFill="1" applyBorder="1" applyAlignment="1" applyProtection="1">
      <alignment horizontal="center" vertical="center" wrapText="1"/>
      <protection hidden="1"/>
    </xf>
    <xf numFmtId="173" fontId="24" fillId="7" borderId="9" xfId="0" applyNumberFormat="1" applyFont="1" applyFill="1" applyBorder="1" applyAlignment="1" applyProtection="1">
      <alignment horizontal="center" vertical="center" wrapText="1"/>
      <protection hidden="1"/>
    </xf>
    <xf numFmtId="0" fontId="7" fillId="2" borderId="0" xfId="0" applyFont="1" applyFill="1" applyBorder="1" applyAlignment="1" applyProtection="1">
      <alignment horizontal="right" vertical="center" wrapText="1"/>
      <protection hidden="1"/>
    </xf>
    <xf numFmtId="0" fontId="24" fillId="27" borderId="4" xfId="0" applyFont="1" applyFill="1" applyBorder="1" applyAlignment="1" applyProtection="1">
      <alignment vertical="center" wrapText="1"/>
      <protection hidden="1"/>
    </xf>
    <xf numFmtId="0" fontId="24" fillId="27" borderId="40" xfId="0" applyFont="1" applyFill="1" applyBorder="1" applyAlignment="1" applyProtection="1">
      <alignment vertical="center" wrapText="1"/>
      <protection hidden="1"/>
    </xf>
    <xf numFmtId="0" fontId="24" fillId="27" borderId="51" xfId="0" applyFont="1" applyFill="1" applyBorder="1" applyAlignment="1" applyProtection="1">
      <alignment vertical="center" wrapText="1"/>
      <protection hidden="1"/>
    </xf>
    <xf numFmtId="0" fontId="24" fillId="27" borderId="2" xfId="0" applyFont="1" applyFill="1" applyBorder="1" applyAlignment="1" applyProtection="1">
      <alignment vertical="center" wrapText="1"/>
      <protection hidden="1"/>
    </xf>
    <xf numFmtId="0" fontId="24" fillId="27" borderId="49" xfId="0" applyFont="1" applyFill="1" applyBorder="1" applyAlignment="1" applyProtection="1">
      <alignment vertical="center" wrapText="1"/>
      <protection hidden="1"/>
    </xf>
    <xf numFmtId="0" fontId="24" fillId="27" borderId="10" xfId="0" applyFont="1" applyFill="1" applyBorder="1" applyAlignment="1" applyProtection="1">
      <alignment vertical="center" wrapText="1"/>
      <protection hidden="1"/>
    </xf>
    <xf numFmtId="0" fontId="24" fillId="27" borderId="75" xfId="0" applyFont="1" applyFill="1" applyBorder="1" applyAlignment="1" applyProtection="1">
      <alignment vertical="center" wrapText="1"/>
      <protection hidden="1"/>
    </xf>
    <xf numFmtId="0" fontId="7" fillId="27" borderId="76" xfId="0" applyFont="1" applyFill="1" applyBorder="1" applyAlignment="1" applyProtection="1">
      <alignment horizontal="center" vertical="center" wrapText="1"/>
      <protection hidden="1"/>
    </xf>
    <xf numFmtId="0" fontId="7" fillId="27" borderId="52"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center" vertical="center" wrapText="1"/>
      <protection hidden="1"/>
    </xf>
    <xf numFmtId="0" fontId="7" fillId="5" borderId="42" xfId="0" applyFont="1" applyFill="1" applyBorder="1" applyAlignment="1" applyProtection="1">
      <alignment horizontal="center" vertical="center" wrapText="1"/>
      <protection hidden="1"/>
    </xf>
    <xf numFmtId="0" fontId="7" fillId="5" borderId="34"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1" fillId="5" borderId="29" xfId="0" applyFont="1" applyFill="1" applyBorder="1" applyAlignment="1" applyProtection="1">
      <alignment horizontal="center" vertical="center" wrapText="1"/>
      <protection hidden="1"/>
    </xf>
    <xf numFmtId="2" fontId="20" fillId="17" borderId="20" xfId="1" applyNumberFormat="1" applyFont="1" applyFill="1" applyBorder="1" applyAlignment="1" applyProtection="1">
      <alignment horizontal="center" vertical="center" wrapText="1"/>
      <protection hidden="1"/>
    </xf>
    <xf numFmtId="0" fontId="2" fillId="0" borderId="0" xfId="0" applyFont="1" applyProtection="1">
      <protection hidden="1"/>
    </xf>
    <xf numFmtId="0" fontId="2" fillId="0" borderId="0" xfId="0" applyFont="1" applyBorder="1" applyProtection="1">
      <protection hidden="1"/>
    </xf>
    <xf numFmtId="0" fontId="2" fillId="0" borderId="6" xfId="0" applyFont="1" applyBorder="1" applyProtection="1">
      <protection hidden="1"/>
    </xf>
    <xf numFmtId="2" fontId="54" fillId="17" borderId="34" xfId="1" applyNumberFormat="1" applyFont="1" applyFill="1" applyBorder="1" applyAlignment="1" applyProtection="1">
      <alignment horizontal="center" vertical="center"/>
      <protection hidden="1"/>
    </xf>
    <xf numFmtId="0" fontId="2" fillId="0" borderId="8" xfId="0" applyFont="1" applyBorder="1" applyProtection="1">
      <protection hidden="1"/>
    </xf>
    <xf numFmtId="0" fontId="24" fillId="2" borderId="8" xfId="0" applyFont="1" applyFill="1" applyBorder="1" applyAlignment="1" applyProtection="1">
      <alignment vertical="center" wrapText="1"/>
      <protection hidden="1"/>
    </xf>
    <xf numFmtId="0" fontId="24" fillId="0" borderId="4" xfId="0" applyFont="1" applyBorder="1" applyAlignment="1" applyProtection="1">
      <alignment vertical="center" wrapText="1"/>
      <protection hidden="1"/>
    </xf>
    <xf numFmtId="0" fontId="24" fillId="2" borderId="10" xfId="0" applyFont="1" applyFill="1" applyBorder="1" applyAlignment="1" applyProtection="1">
      <alignment horizontal="center" vertical="center" wrapText="1"/>
      <protection hidden="1"/>
    </xf>
    <xf numFmtId="0" fontId="26" fillId="2" borderId="0" xfId="0" applyFont="1" applyFill="1" applyBorder="1" applyAlignment="1" applyProtection="1">
      <alignment horizontal="center" vertical="center" wrapText="1"/>
      <protection hidden="1"/>
    </xf>
    <xf numFmtId="14" fontId="24" fillId="16" borderId="9" xfId="0" applyNumberFormat="1" applyFont="1" applyFill="1" applyBorder="1" applyAlignment="1" applyProtection="1">
      <alignment horizontal="center" vertical="center" wrapText="1"/>
      <protection hidden="1"/>
    </xf>
    <xf numFmtId="0" fontId="7" fillId="17" borderId="47" xfId="0" applyFont="1" applyFill="1" applyBorder="1" applyAlignment="1" applyProtection="1">
      <alignment horizontal="left" vertical="center" wrapText="1"/>
      <protection hidden="1"/>
    </xf>
    <xf numFmtId="0" fontId="7" fillId="17" borderId="55" xfId="0" applyFont="1" applyFill="1" applyBorder="1" applyAlignment="1" applyProtection="1">
      <alignment horizontal="center" vertical="center" wrapText="1"/>
      <protection hidden="1"/>
    </xf>
    <xf numFmtId="0" fontId="7" fillId="17" borderId="55" xfId="0" applyFont="1" applyFill="1" applyBorder="1" applyAlignment="1" applyProtection="1">
      <alignment horizontal="center" vertical="top" wrapText="1"/>
      <protection hidden="1"/>
    </xf>
    <xf numFmtId="0" fontId="7" fillId="17" borderId="41" xfId="0" applyFont="1" applyFill="1" applyBorder="1" applyAlignment="1" applyProtection="1">
      <alignment horizontal="left" vertical="center" wrapText="1"/>
      <protection hidden="1"/>
    </xf>
    <xf numFmtId="14" fontId="24" fillId="16" borderId="42" xfId="0" applyNumberFormat="1" applyFont="1" applyFill="1" applyBorder="1" applyAlignment="1" applyProtection="1">
      <alignment horizontal="center" vertical="center" wrapText="1"/>
      <protection hidden="1"/>
    </xf>
    <xf numFmtId="2" fontId="24" fillId="16" borderId="42" xfId="0" applyNumberFormat="1" applyFont="1" applyFill="1" applyBorder="1" applyAlignment="1" applyProtection="1">
      <alignment horizontal="center" vertical="center" wrapText="1"/>
      <protection hidden="1"/>
    </xf>
    <xf numFmtId="14" fontId="24" fillId="13" borderId="42" xfId="0" applyNumberFormat="1" applyFont="1" applyFill="1" applyBorder="1" applyAlignment="1" applyProtection="1">
      <alignment horizontal="center" vertical="center" wrapText="1"/>
      <protection hidden="1"/>
    </xf>
    <xf numFmtId="0" fontId="24" fillId="16" borderId="42" xfId="0" applyFont="1" applyFill="1" applyBorder="1" applyAlignment="1" applyProtection="1">
      <alignment horizontal="center" vertical="center" wrapText="1"/>
      <protection hidden="1"/>
    </xf>
    <xf numFmtId="169" fontId="24" fillId="13" borderId="42" xfId="0" applyNumberFormat="1" applyFont="1" applyFill="1" applyBorder="1" applyAlignment="1" applyProtection="1">
      <alignment horizontal="center" vertical="center" wrapText="1"/>
      <protection hidden="1"/>
    </xf>
    <xf numFmtId="0" fontId="24" fillId="13" borderId="42" xfId="0" applyFont="1" applyFill="1" applyBorder="1" applyAlignment="1" applyProtection="1">
      <alignment horizontal="center" vertical="center" wrapText="1"/>
      <protection hidden="1"/>
    </xf>
    <xf numFmtId="0" fontId="24" fillId="2" borderId="30" xfId="0" applyFont="1" applyFill="1" applyBorder="1" applyAlignment="1" applyProtection="1">
      <alignment horizontal="center" vertical="center" wrapText="1"/>
      <protection hidden="1"/>
    </xf>
    <xf numFmtId="1" fontId="67" fillId="16" borderId="9" xfId="0" applyNumberFormat="1" applyFont="1" applyFill="1" applyBorder="1" applyAlignment="1" applyProtection="1">
      <alignment vertical="center" wrapText="1"/>
      <protection hidden="1"/>
    </xf>
    <xf numFmtId="166" fontId="24" fillId="16" borderId="9" xfId="0" applyNumberFormat="1" applyFont="1" applyFill="1" applyBorder="1" applyAlignment="1" applyProtection="1">
      <alignment horizontal="center" vertical="center" wrapText="1"/>
      <protection hidden="1"/>
    </xf>
    <xf numFmtId="14" fontId="24" fillId="13" borderId="9" xfId="0" applyNumberFormat="1" applyFont="1" applyFill="1" applyBorder="1" applyAlignment="1" applyProtection="1">
      <alignment horizontal="center" vertical="center" wrapText="1"/>
      <protection hidden="1"/>
    </xf>
    <xf numFmtId="14" fontId="24" fillId="13" borderId="9" xfId="0" applyNumberFormat="1" applyFont="1" applyFill="1" applyBorder="1" applyAlignment="1" applyProtection="1">
      <alignment horizontal="center" vertical="center"/>
      <protection hidden="1"/>
    </xf>
    <xf numFmtId="164" fontId="24" fillId="13" borderId="9" xfId="0" applyNumberFormat="1" applyFont="1" applyFill="1" applyBorder="1" applyAlignment="1" applyProtection="1">
      <alignment horizontal="center" vertical="center" wrapText="1"/>
      <protection hidden="1"/>
    </xf>
    <xf numFmtId="0" fontId="24" fillId="13" borderId="9" xfId="0" applyFont="1" applyFill="1" applyBorder="1" applyAlignment="1" applyProtection="1">
      <alignment horizontal="center" vertical="center" wrapText="1"/>
      <protection hidden="1"/>
    </xf>
    <xf numFmtId="1" fontId="24" fillId="16" borderId="9" xfId="0" applyNumberFormat="1" applyFont="1" applyFill="1" applyBorder="1" applyAlignment="1" applyProtection="1">
      <alignment horizontal="center" vertical="center" wrapText="1"/>
      <protection hidden="1"/>
    </xf>
    <xf numFmtId="170" fontId="24" fillId="16" borderId="9" xfId="0" applyNumberFormat="1" applyFont="1" applyFill="1" applyBorder="1" applyAlignment="1" applyProtection="1">
      <alignment horizontal="center" vertical="center" wrapText="1"/>
      <protection hidden="1"/>
    </xf>
    <xf numFmtId="0" fontId="24" fillId="2" borderId="24" xfId="0" applyFont="1" applyFill="1" applyBorder="1" applyAlignment="1" applyProtection="1">
      <alignment horizontal="center" vertical="center" wrapText="1"/>
      <protection hidden="1"/>
    </xf>
    <xf numFmtId="2" fontId="24" fillId="16" borderId="9" xfId="0" applyNumberFormat="1" applyFont="1" applyFill="1" applyBorder="1" applyAlignment="1" applyProtection="1">
      <alignment horizontal="center" vertical="center" wrapText="1"/>
      <protection hidden="1"/>
    </xf>
    <xf numFmtId="1" fontId="24" fillId="16" borderId="9" xfId="0" applyNumberFormat="1" applyFont="1" applyFill="1" applyBorder="1" applyAlignment="1" applyProtection="1">
      <alignment vertical="center" wrapText="1"/>
      <protection hidden="1"/>
    </xf>
    <xf numFmtId="167" fontId="24" fillId="16" borderId="9" xfId="0" applyNumberFormat="1" applyFont="1" applyFill="1" applyBorder="1" applyAlignment="1" applyProtection="1">
      <alignment horizontal="center" vertical="center" wrapText="1"/>
      <protection hidden="1"/>
    </xf>
    <xf numFmtId="0" fontId="24" fillId="0" borderId="24" xfId="0" applyFont="1" applyFill="1" applyBorder="1" applyAlignment="1" applyProtection="1">
      <alignment horizontal="center" vertical="center" wrapText="1"/>
      <protection hidden="1"/>
    </xf>
    <xf numFmtId="0" fontId="7" fillId="17" borderId="44" xfId="0" applyFont="1" applyFill="1" applyBorder="1" applyAlignment="1" applyProtection="1">
      <alignment horizontal="left" vertical="center" wrapText="1"/>
      <protection hidden="1"/>
    </xf>
    <xf numFmtId="0" fontId="7" fillId="17" borderId="34" xfId="0" applyFont="1" applyFill="1" applyBorder="1" applyAlignment="1" applyProtection="1">
      <alignment vertical="center" wrapText="1"/>
      <protection hidden="1"/>
    </xf>
    <xf numFmtId="165" fontId="24" fillId="16" borderId="9" xfId="0" applyNumberFormat="1" applyFont="1" applyFill="1" applyBorder="1" applyAlignment="1" applyProtection="1">
      <alignment horizontal="center" vertical="center" wrapText="1"/>
      <protection hidden="1"/>
    </xf>
    <xf numFmtId="169" fontId="24" fillId="16" borderId="9" xfId="0" applyNumberFormat="1" applyFont="1" applyFill="1" applyBorder="1" applyAlignment="1" applyProtection="1">
      <alignment horizontal="center" vertical="center" wrapText="1"/>
      <protection hidden="1"/>
    </xf>
    <xf numFmtId="173" fontId="24" fillId="13" borderId="9" xfId="0" applyNumberFormat="1" applyFont="1" applyFill="1" applyBorder="1" applyAlignment="1" applyProtection="1">
      <alignment horizontal="center" vertical="center" wrapText="1"/>
      <protection hidden="1"/>
    </xf>
    <xf numFmtId="0" fontId="24" fillId="0" borderId="25" xfId="0" applyFont="1" applyFill="1" applyBorder="1" applyAlignment="1" applyProtection="1">
      <alignment horizontal="center" vertical="center" wrapText="1"/>
      <protection hidden="1"/>
    </xf>
    <xf numFmtId="0" fontId="24" fillId="0" borderId="26" xfId="0" applyFont="1" applyFill="1" applyBorder="1" applyAlignment="1" applyProtection="1">
      <alignment horizontal="center" vertical="center" wrapText="1"/>
      <protection hidden="1"/>
    </xf>
    <xf numFmtId="1" fontId="24" fillId="16" borderId="46" xfId="0" applyNumberFormat="1" applyFont="1" applyFill="1" applyBorder="1" applyAlignment="1" applyProtection="1">
      <alignment horizontal="center" vertical="center" wrapText="1"/>
      <protection hidden="1"/>
    </xf>
    <xf numFmtId="14" fontId="24" fillId="13" borderId="46" xfId="0" applyNumberFormat="1" applyFont="1" applyFill="1" applyBorder="1" applyAlignment="1" applyProtection="1">
      <alignment horizontal="center" vertical="center" wrapText="1"/>
      <protection hidden="1"/>
    </xf>
    <xf numFmtId="173" fontId="24" fillId="13" borderId="46" xfId="0" applyNumberFormat="1" applyFont="1" applyFill="1" applyBorder="1" applyAlignment="1" applyProtection="1">
      <alignment horizontal="center" vertical="center" wrapText="1"/>
      <protection hidden="1"/>
    </xf>
    <xf numFmtId="0" fontId="24" fillId="13" borderId="46" xfId="0" applyFont="1" applyFill="1" applyBorder="1" applyAlignment="1" applyProtection="1">
      <alignment horizontal="center" vertical="center" wrapText="1"/>
      <protection hidden="1"/>
    </xf>
    <xf numFmtId="170" fontId="24" fillId="16" borderId="46" xfId="0" applyNumberFormat="1"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wrapText="1"/>
      <protection hidden="1"/>
    </xf>
    <xf numFmtId="0" fontId="24" fillId="0" borderId="5"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14" fontId="24" fillId="2" borderId="0" xfId="0" applyNumberFormat="1" applyFont="1" applyFill="1" applyBorder="1" applyAlignment="1" applyProtection="1">
      <alignment horizontal="center" vertical="center" wrapText="1"/>
      <protection hidden="1"/>
    </xf>
    <xf numFmtId="0" fontId="5" fillId="2" borderId="0" xfId="0" applyFont="1" applyFill="1" applyBorder="1" applyAlignment="1" applyProtection="1">
      <alignment vertical="center" wrapText="1"/>
      <protection hidden="1"/>
    </xf>
    <xf numFmtId="0" fontId="24" fillId="13" borderId="36" xfId="0" applyFont="1" applyFill="1" applyBorder="1" applyAlignment="1" applyProtection="1">
      <alignment horizontal="center" vertical="center" wrapText="1"/>
      <protection hidden="1"/>
    </xf>
    <xf numFmtId="165" fontId="24" fillId="13" borderId="36" xfId="0" applyNumberFormat="1" applyFont="1" applyFill="1" applyBorder="1" applyAlignment="1" applyProtection="1">
      <alignment horizontal="center" vertical="center" wrapText="1"/>
      <protection hidden="1"/>
    </xf>
    <xf numFmtId="2" fontId="24" fillId="13" borderId="36" xfId="0" applyNumberFormat="1" applyFont="1" applyFill="1" applyBorder="1" applyAlignment="1" applyProtection="1">
      <alignment horizontal="center" vertical="center" wrapText="1"/>
      <protection hidden="1"/>
    </xf>
    <xf numFmtId="2" fontId="24" fillId="13" borderId="34" xfId="0" applyNumberFormat="1" applyFont="1" applyFill="1" applyBorder="1" applyAlignment="1" applyProtection="1">
      <alignment horizontal="center" vertical="center" wrapText="1"/>
      <protection hidden="1"/>
    </xf>
    <xf numFmtId="164" fontId="24" fillId="13" borderId="36" xfId="0" applyNumberFormat="1" applyFont="1" applyFill="1" applyBorder="1" applyAlignment="1" applyProtection="1">
      <alignment horizontal="center" vertical="center" wrapText="1"/>
      <protection hidden="1"/>
    </xf>
    <xf numFmtId="0" fontId="24" fillId="13" borderId="34" xfId="0" applyFont="1" applyFill="1" applyBorder="1" applyAlignment="1" applyProtection="1">
      <alignment horizontal="center" vertical="center" wrapText="1"/>
      <protection hidden="1"/>
    </xf>
    <xf numFmtId="2" fontId="24" fillId="13" borderId="9" xfId="0" applyNumberFormat="1" applyFont="1" applyFill="1" applyBorder="1" applyAlignment="1" applyProtection="1">
      <alignment horizontal="center" vertical="center" wrapText="1"/>
      <protection hidden="1"/>
    </xf>
    <xf numFmtId="0" fontId="24" fillId="13" borderId="39" xfId="0" applyFont="1" applyFill="1" applyBorder="1" applyAlignment="1" applyProtection="1">
      <alignment horizontal="center" vertical="center" wrapText="1"/>
      <protection hidden="1"/>
    </xf>
    <xf numFmtId="2" fontId="24" fillId="13" borderId="45" xfId="0" applyNumberFormat="1" applyFont="1" applyFill="1" applyBorder="1" applyAlignment="1" applyProtection="1">
      <alignment horizontal="center" vertical="center" wrapText="1"/>
      <protection hidden="1"/>
    </xf>
    <xf numFmtId="165" fontId="24" fillId="13" borderId="39" xfId="0" applyNumberFormat="1" applyFont="1" applyFill="1" applyBorder="1" applyAlignment="1" applyProtection="1">
      <alignment horizontal="center" vertical="center" wrapText="1"/>
      <protection hidden="1"/>
    </xf>
    <xf numFmtId="0" fontId="24" fillId="21" borderId="39" xfId="0" applyFont="1" applyFill="1" applyBorder="1" applyAlignment="1" applyProtection="1">
      <alignment horizontal="center" vertical="center" wrapText="1"/>
      <protection hidden="1"/>
    </xf>
    <xf numFmtId="167" fontId="2" fillId="16" borderId="9" xfId="0" applyNumberFormat="1" applyFont="1" applyFill="1" applyBorder="1" applyAlignment="1" applyProtection="1">
      <alignment horizontal="center" vertical="center" wrapText="1"/>
      <protection hidden="1"/>
    </xf>
    <xf numFmtId="167" fontId="2" fillId="16" borderId="46" xfId="0" applyNumberFormat="1" applyFont="1" applyFill="1" applyBorder="1" applyAlignment="1" applyProtection="1">
      <alignment horizontal="center" vertical="center" wrapText="1"/>
      <protection hidden="1"/>
    </xf>
    <xf numFmtId="0" fontId="24" fillId="0" borderId="10" xfId="0" applyFont="1" applyFill="1" applyBorder="1" applyAlignment="1" applyProtection="1">
      <alignment vertical="center" wrapText="1"/>
      <protection hidden="1"/>
    </xf>
    <xf numFmtId="0" fontId="2"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167" fontId="2" fillId="0" borderId="0" xfId="0" applyNumberFormat="1" applyFont="1" applyFill="1" applyBorder="1" applyAlignment="1" applyProtection="1">
      <alignment horizontal="center" vertical="center" wrapText="1"/>
      <protection hidden="1"/>
    </xf>
    <xf numFmtId="0" fontId="24" fillId="0" borderId="51" xfId="0" applyFont="1" applyFill="1" applyBorder="1" applyAlignment="1" applyProtection="1">
      <alignment vertical="center" wrapText="1"/>
      <protection hidden="1"/>
    </xf>
    <xf numFmtId="0" fontId="7" fillId="17" borderId="9" xfId="0" applyFont="1" applyFill="1" applyBorder="1" applyAlignment="1" applyProtection="1">
      <alignment horizontal="center" vertical="center" wrapText="1"/>
      <protection hidden="1"/>
    </xf>
    <xf numFmtId="0" fontId="7" fillId="17" borderId="36" xfId="0" applyFont="1" applyFill="1" applyBorder="1" applyAlignment="1" applyProtection="1">
      <alignment horizontal="center" vertical="center" wrapText="1"/>
      <protection hidden="1"/>
    </xf>
    <xf numFmtId="1" fontId="3" fillId="13" borderId="36" xfId="0" applyNumberFormat="1" applyFont="1" applyFill="1" applyBorder="1" applyAlignment="1" applyProtection="1">
      <alignment horizontal="center" vertical="center" wrapText="1"/>
      <protection hidden="1"/>
    </xf>
    <xf numFmtId="1" fontId="3" fillId="13" borderId="9"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7" fillId="17" borderId="19"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166" fontId="24" fillId="0" borderId="0" xfId="0" applyNumberFormat="1" applyFont="1" applyFill="1" applyBorder="1" applyAlignment="1" applyProtection="1">
      <alignment horizontal="center" vertical="center" wrapText="1"/>
      <protection hidden="1"/>
    </xf>
    <xf numFmtId="0" fontId="21" fillId="17" borderId="42" xfId="0" applyFont="1" applyFill="1" applyBorder="1" applyAlignment="1" applyProtection="1">
      <alignment horizontal="center" vertical="center" wrapText="1"/>
      <protection hidden="1"/>
    </xf>
    <xf numFmtId="0" fontId="21" fillId="17" borderId="43" xfId="0" applyFont="1" applyFill="1" applyBorder="1" applyAlignment="1" applyProtection="1">
      <alignment horizontal="center" vertical="center" wrapText="1"/>
      <protection hidden="1"/>
    </xf>
    <xf numFmtId="0" fontId="24" fillId="5" borderId="41" xfId="0" applyFont="1" applyFill="1" applyBorder="1" applyAlignment="1" applyProtection="1">
      <alignment horizontal="center" vertical="center" wrapText="1"/>
      <protection hidden="1"/>
    </xf>
    <xf numFmtId="0" fontId="24" fillId="5" borderId="42" xfId="0" applyFont="1" applyFill="1" applyBorder="1" applyAlignment="1" applyProtection="1">
      <alignment horizontal="center" vertical="center" wrapText="1"/>
      <protection hidden="1"/>
    </xf>
    <xf numFmtId="0" fontId="24" fillId="5" borderId="43" xfId="0" applyFont="1" applyFill="1" applyBorder="1" applyAlignment="1" applyProtection="1">
      <alignment horizontal="center" vertical="center" wrapText="1"/>
      <protection hidden="1"/>
    </xf>
    <xf numFmtId="0" fontId="24" fillId="5" borderId="76" xfId="0" applyFont="1" applyFill="1" applyBorder="1" applyAlignment="1" applyProtection="1">
      <alignment vertical="center" wrapText="1"/>
      <protection hidden="1"/>
    </xf>
    <xf numFmtId="165" fontId="4" fillId="8" borderId="3" xfId="0" applyNumberFormat="1" applyFont="1" applyFill="1" applyBorder="1" applyAlignment="1" applyProtection="1">
      <alignment vertical="center" wrapText="1"/>
      <protection hidden="1"/>
    </xf>
    <xf numFmtId="165" fontId="1" fillId="8" borderId="1" xfId="0" applyNumberFormat="1" applyFont="1" applyFill="1" applyBorder="1" applyAlignment="1" applyProtection="1">
      <alignment horizontal="center" vertical="center" wrapText="1"/>
      <protection hidden="1"/>
    </xf>
    <xf numFmtId="165" fontId="4" fillId="8" borderId="4" xfId="0" applyNumberFormat="1" applyFont="1" applyFill="1" applyBorder="1" applyAlignment="1" applyProtection="1">
      <alignment vertical="center" wrapText="1"/>
      <protection hidden="1"/>
    </xf>
    <xf numFmtId="11" fontId="24" fillId="13" borderId="9" xfId="0" applyNumberFormat="1" applyFont="1" applyFill="1" applyBorder="1" applyAlignment="1" applyProtection="1">
      <alignment horizontal="center" vertical="center" wrapText="1"/>
      <protection hidden="1"/>
    </xf>
    <xf numFmtId="0" fontId="24" fillId="5" borderId="36" xfId="0" applyFont="1" applyFill="1" applyBorder="1" applyAlignment="1" applyProtection="1">
      <alignment horizontal="center" vertical="center" wrapText="1"/>
      <protection hidden="1"/>
    </xf>
    <xf numFmtId="0" fontId="5" fillId="19" borderId="71" xfId="0" applyFont="1" applyFill="1" applyBorder="1" applyAlignment="1" applyProtection="1">
      <alignment horizontal="center" vertical="center" wrapText="1"/>
      <protection hidden="1"/>
    </xf>
    <xf numFmtId="165" fontId="4" fillId="8" borderId="0" xfId="0" applyNumberFormat="1" applyFont="1" applyFill="1" applyBorder="1" applyAlignment="1" applyProtection="1">
      <alignment vertical="center" wrapText="1"/>
      <protection hidden="1"/>
    </xf>
    <xf numFmtId="167" fontId="4" fillId="8" borderId="1" xfId="0" applyNumberFormat="1" applyFont="1" applyFill="1" applyBorder="1" applyAlignment="1" applyProtection="1">
      <alignment horizontal="center" vertical="center" wrapText="1"/>
      <protection hidden="1"/>
    </xf>
    <xf numFmtId="165" fontId="4" fillId="8" borderId="51" xfId="0" applyNumberFormat="1" applyFont="1" applyFill="1" applyBorder="1" applyAlignment="1" applyProtection="1">
      <alignment vertical="center" wrapText="1"/>
      <protection hidden="1"/>
    </xf>
    <xf numFmtId="0" fontId="5" fillId="5" borderId="74" xfId="0" applyFont="1" applyFill="1" applyBorder="1" applyAlignment="1" applyProtection="1">
      <alignment horizontal="center" vertical="center" wrapText="1"/>
      <protection hidden="1"/>
    </xf>
    <xf numFmtId="165" fontId="4" fillId="8" borderId="5" xfId="0" applyNumberFormat="1" applyFont="1" applyFill="1" applyBorder="1" applyAlignment="1" applyProtection="1">
      <alignment vertical="center" wrapText="1"/>
      <protection hidden="1"/>
    </xf>
    <xf numFmtId="165" fontId="4" fillId="8" borderId="40" xfId="0" applyNumberFormat="1" applyFont="1" applyFill="1" applyBorder="1" applyAlignment="1" applyProtection="1">
      <alignment vertical="center" wrapText="1"/>
      <protection hidden="1"/>
    </xf>
    <xf numFmtId="0" fontId="24" fillId="5" borderId="76" xfId="0" applyFont="1" applyFill="1" applyBorder="1" applyAlignment="1" applyProtection="1">
      <alignment horizontal="center" vertical="center" wrapText="1"/>
      <protection hidden="1"/>
    </xf>
    <xf numFmtId="165" fontId="1" fillId="8" borderId="52" xfId="0" applyNumberFormat="1" applyFont="1" applyFill="1" applyBorder="1" applyAlignment="1" applyProtection="1">
      <alignment horizontal="center" vertical="center" wrapText="1"/>
      <protection hidden="1"/>
    </xf>
    <xf numFmtId="0" fontId="19" fillId="4" borderId="45" xfId="0" applyFont="1" applyFill="1" applyBorder="1" applyAlignment="1" applyProtection="1">
      <alignment horizontal="center" vertical="center" wrapText="1"/>
      <protection hidden="1"/>
    </xf>
    <xf numFmtId="11" fontId="24" fillId="13" borderId="46" xfId="0" applyNumberFormat="1" applyFont="1" applyFill="1" applyBorder="1" applyAlignment="1" applyProtection="1">
      <alignment horizontal="center" vertical="center" wrapText="1"/>
      <protection hidden="1"/>
    </xf>
    <xf numFmtId="0" fontId="24" fillId="5" borderId="39" xfId="0" applyFont="1" applyFill="1" applyBorder="1" applyAlignment="1" applyProtection="1">
      <alignment horizontal="center" vertical="center" wrapText="1"/>
      <protection hidden="1"/>
    </xf>
    <xf numFmtId="169" fontId="24" fillId="13" borderId="36" xfId="0" applyNumberFormat="1" applyFont="1" applyFill="1" applyBorder="1" applyAlignment="1" applyProtection="1">
      <alignment horizontal="center" vertical="center" wrapText="1"/>
      <protection hidden="1"/>
    </xf>
    <xf numFmtId="0" fontId="24" fillId="2" borderId="24" xfId="0" applyFont="1" applyFill="1" applyBorder="1" applyAlignment="1" applyProtection="1">
      <alignment vertical="center" wrapText="1"/>
      <protection hidden="1"/>
    </xf>
    <xf numFmtId="0" fontId="24" fillId="2" borderId="23" xfId="0" applyFont="1" applyFill="1" applyBorder="1" applyAlignment="1" applyProtection="1">
      <alignment vertical="center" wrapText="1"/>
      <protection hidden="1"/>
    </xf>
    <xf numFmtId="2" fontId="24" fillId="13" borderId="39" xfId="0" applyNumberFormat="1" applyFont="1" applyFill="1" applyBorder="1" applyAlignment="1" applyProtection="1">
      <alignment horizontal="center" vertical="center" wrapText="1"/>
      <protection hidden="1"/>
    </xf>
    <xf numFmtId="0" fontId="24" fillId="2" borderId="11" xfId="0" applyFont="1" applyFill="1" applyBorder="1" applyAlignment="1" applyProtection="1">
      <alignment vertical="center" wrapText="1"/>
      <protection hidden="1"/>
    </xf>
    <xf numFmtId="0" fontId="23" fillId="2" borderId="10" xfId="0" applyFont="1" applyFill="1" applyBorder="1" applyAlignment="1" applyProtection="1">
      <alignment horizontal="center" vertical="center" wrapText="1"/>
      <protection hidden="1"/>
    </xf>
    <xf numFmtId="0" fontId="24" fillId="2" borderId="54" xfId="0" applyFont="1" applyFill="1" applyBorder="1" applyAlignment="1" applyProtection="1">
      <alignment vertical="center" wrapText="1"/>
      <protection hidden="1"/>
    </xf>
    <xf numFmtId="0" fontId="7" fillId="5" borderId="18" xfId="0" applyFont="1" applyFill="1" applyBorder="1" applyAlignment="1" applyProtection="1">
      <alignment horizontal="center" vertical="center" wrapText="1"/>
      <protection hidden="1"/>
    </xf>
    <xf numFmtId="0" fontId="7" fillId="5" borderId="38" xfId="0" applyFont="1" applyFill="1" applyBorder="1" applyAlignment="1" applyProtection="1">
      <alignment horizontal="center" vertical="center" wrapText="1"/>
      <protection hidden="1"/>
    </xf>
    <xf numFmtId="0" fontId="3" fillId="5" borderId="23" xfId="0" applyFont="1" applyFill="1" applyBorder="1" applyAlignment="1" applyProtection="1">
      <alignment horizontal="left" vertical="center" wrapText="1"/>
      <protection hidden="1"/>
    </xf>
    <xf numFmtId="0" fontId="24" fillId="5" borderId="23" xfId="0" applyFont="1" applyFill="1" applyBorder="1" applyAlignment="1" applyProtection="1">
      <alignment vertical="center" wrapText="1"/>
      <protection hidden="1"/>
    </xf>
    <xf numFmtId="0" fontId="24" fillId="5" borderId="14" xfId="0" applyFont="1" applyFill="1" applyBorder="1" applyAlignment="1" applyProtection="1">
      <alignment vertical="center" wrapText="1"/>
      <protection hidden="1"/>
    </xf>
    <xf numFmtId="164" fontId="24" fillId="7" borderId="11" xfId="0" applyNumberFormat="1" applyFont="1" applyFill="1" applyBorder="1" applyAlignment="1" applyProtection="1">
      <alignment horizontal="center" vertical="center" wrapText="1"/>
      <protection hidden="1"/>
    </xf>
    <xf numFmtId="0" fontId="3" fillId="2" borderId="37" xfId="0" applyFont="1" applyFill="1" applyBorder="1" applyAlignment="1" applyProtection="1">
      <alignment horizontal="left" vertical="center" wrapText="1"/>
      <protection hidden="1"/>
    </xf>
    <xf numFmtId="0" fontId="3" fillId="2" borderId="23" xfId="0" applyFont="1" applyFill="1" applyBorder="1" applyAlignment="1" applyProtection="1">
      <alignment horizontal="left" vertical="center" wrapText="1"/>
      <protection hidden="1"/>
    </xf>
    <xf numFmtId="164" fontId="24" fillId="2" borderId="23" xfId="0" applyNumberFormat="1" applyFont="1" applyFill="1" applyBorder="1" applyAlignment="1" applyProtection="1">
      <alignment vertical="center" wrapText="1"/>
      <protection hidden="1"/>
    </xf>
    <xf numFmtId="0" fontId="41" fillId="5" borderId="9" xfId="0" applyFont="1" applyFill="1" applyBorder="1" applyAlignment="1" applyProtection="1">
      <alignment horizontal="center" vertical="center" wrapText="1"/>
      <protection hidden="1"/>
    </xf>
    <xf numFmtId="169" fontId="24" fillId="2" borderId="35" xfId="0" applyNumberFormat="1" applyFont="1" applyFill="1" applyBorder="1" applyAlignment="1" applyProtection="1">
      <alignment vertical="center" wrapText="1"/>
      <protection hidden="1"/>
    </xf>
    <xf numFmtId="0" fontId="41" fillId="5" borderId="23" xfId="0" applyFont="1" applyFill="1" applyBorder="1" applyAlignment="1" applyProtection="1">
      <alignment vertical="center" wrapText="1"/>
      <protection hidden="1"/>
    </xf>
    <xf numFmtId="0" fontId="24" fillId="5" borderId="9" xfId="0" applyFont="1" applyFill="1" applyBorder="1" applyAlignment="1" applyProtection="1">
      <alignment vertical="center" wrapText="1"/>
      <protection hidden="1"/>
    </xf>
    <xf numFmtId="169" fontId="24" fillId="2" borderId="23" xfId="0" applyNumberFormat="1" applyFont="1" applyFill="1" applyBorder="1" applyAlignment="1" applyProtection="1">
      <alignment vertical="center" wrapText="1"/>
      <protection hidden="1"/>
    </xf>
    <xf numFmtId="0" fontId="42" fillId="5" borderId="23" xfId="0" applyFont="1" applyFill="1" applyBorder="1" applyAlignment="1" applyProtection="1">
      <alignment horizontal="left" vertical="center" wrapText="1"/>
      <protection hidden="1"/>
    </xf>
    <xf numFmtId="1" fontId="24" fillId="7" borderId="11" xfId="0" applyNumberFormat="1" applyFont="1" applyFill="1" applyBorder="1" applyAlignment="1" applyProtection="1">
      <alignment horizontal="center" vertical="center" wrapText="1"/>
      <protection hidden="1"/>
    </xf>
    <xf numFmtId="1" fontId="24" fillId="2" borderId="23" xfId="0" applyNumberFormat="1" applyFont="1" applyFill="1" applyBorder="1" applyAlignment="1" applyProtection="1">
      <alignment vertical="center" wrapText="1"/>
      <protection hidden="1"/>
    </xf>
    <xf numFmtId="0" fontId="41" fillId="2" borderId="9" xfId="0" applyFont="1" applyFill="1" applyBorder="1" applyAlignment="1" applyProtection="1">
      <alignment horizontal="center" vertical="center" wrapText="1"/>
      <protection hidden="1"/>
    </xf>
    <xf numFmtId="168" fontId="24" fillId="7" borderId="9" xfId="0" applyNumberFormat="1" applyFont="1" applyFill="1" applyBorder="1" applyAlignment="1" applyProtection="1">
      <alignment horizontal="center" vertical="center" wrapText="1"/>
      <protection hidden="1"/>
    </xf>
    <xf numFmtId="1" fontId="24" fillId="2" borderId="11" xfId="0" applyNumberFormat="1" applyFont="1" applyFill="1" applyBorder="1" applyAlignment="1" applyProtection="1">
      <alignment horizontal="center" vertical="center" wrapText="1"/>
      <protection hidden="1"/>
    </xf>
    <xf numFmtId="169" fontId="24" fillId="2" borderId="35" xfId="0" applyNumberFormat="1" applyFont="1" applyFill="1" applyBorder="1" applyAlignment="1" applyProtection="1">
      <alignment horizontal="center" vertical="center"/>
      <protection hidden="1"/>
    </xf>
    <xf numFmtId="0" fontId="42" fillId="5" borderId="64" xfId="0" applyFont="1" applyFill="1" applyBorder="1" applyAlignment="1" applyProtection="1">
      <alignment vertical="center" wrapText="1"/>
      <protection hidden="1"/>
    </xf>
    <xf numFmtId="0" fontId="42" fillId="5" borderId="59" xfId="0" applyFont="1" applyFill="1" applyBorder="1" applyAlignment="1" applyProtection="1">
      <alignment vertical="center" wrapText="1"/>
      <protection hidden="1"/>
    </xf>
    <xf numFmtId="173" fontId="24" fillId="7" borderId="57" xfId="0" applyNumberFormat="1" applyFont="1" applyFill="1" applyBorder="1" applyAlignment="1" applyProtection="1">
      <alignment horizontal="center" vertical="center" wrapText="1"/>
      <protection hidden="1"/>
    </xf>
    <xf numFmtId="169" fontId="24" fillId="5" borderId="63" xfId="0" applyNumberFormat="1" applyFont="1" applyFill="1" applyBorder="1" applyAlignment="1" applyProtection="1">
      <alignment horizontal="center" vertical="center"/>
      <protection hidden="1"/>
    </xf>
    <xf numFmtId="0" fontId="1" fillId="5" borderId="18" xfId="0" applyFont="1" applyFill="1" applyBorder="1" applyAlignment="1" applyProtection="1">
      <alignment horizontal="center" vertical="center" wrapText="1"/>
      <protection hidden="1"/>
    </xf>
    <xf numFmtId="0" fontId="28" fillId="5" borderId="38" xfId="0" applyFont="1" applyFill="1" applyBorder="1" applyAlignment="1" applyProtection="1">
      <alignment horizontal="center" vertical="center" wrapText="1"/>
      <protection hidden="1"/>
    </xf>
    <xf numFmtId="0" fontId="41" fillId="2" borderId="10" xfId="0" applyFont="1" applyFill="1" applyBorder="1" applyAlignment="1" applyProtection="1">
      <alignment vertical="center" wrapText="1"/>
      <protection hidden="1"/>
    </xf>
    <xf numFmtId="2" fontId="3" fillId="5" borderId="9" xfId="0" applyNumberFormat="1" applyFont="1" applyFill="1" applyBorder="1" applyAlignment="1" applyProtection="1">
      <alignment horizontal="center" vertical="center" wrapText="1"/>
      <protection hidden="1"/>
    </xf>
    <xf numFmtId="0" fontId="23" fillId="2" borderId="23" xfId="0" applyFont="1" applyFill="1" applyBorder="1" applyAlignment="1" applyProtection="1">
      <alignment horizontal="center" vertical="center" wrapText="1"/>
      <protection hidden="1"/>
    </xf>
    <xf numFmtId="0" fontId="39" fillId="2" borderId="23" xfId="0" applyFont="1" applyFill="1" applyBorder="1" applyAlignment="1" applyProtection="1">
      <alignment horizontal="center" vertical="center" wrapText="1"/>
      <protection hidden="1"/>
    </xf>
    <xf numFmtId="0" fontId="46" fillId="2" borderId="35" xfId="0" applyFont="1" applyFill="1" applyBorder="1" applyAlignment="1" applyProtection="1">
      <alignment horizontal="center" vertical="center" wrapText="1"/>
      <protection hidden="1"/>
    </xf>
    <xf numFmtId="0" fontId="34" fillId="5" borderId="9" xfId="0" applyFont="1" applyFill="1" applyBorder="1" applyAlignment="1" applyProtection="1">
      <alignment vertical="center" wrapText="1"/>
      <protection hidden="1"/>
    </xf>
    <xf numFmtId="14" fontId="43" fillId="5" borderId="9" xfId="0" applyNumberFormat="1" applyFont="1" applyFill="1" applyBorder="1" applyAlignment="1" applyProtection="1">
      <alignment horizontal="center" vertical="center" wrapText="1"/>
      <protection hidden="1"/>
    </xf>
    <xf numFmtId="169" fontId="43" fillId="7" borderId="9" xfId="0" applyNumberFormat="1" applyFont="1" applyFill="1" applyBorder="1" applyAlignment="1" applyProtection="1">
      <alignment horizontal="center" vertical="center" wrapText="1"/>
      <protection hidden="1"/>
    </xf>
    <xf numFmtId="165" fontId="43" fillId="7" borderId="9" xfId="0" applyNumberFormat="1" applyFont="1" applyFill="1" applyBorder="1" applyAlignment="1" applyProtection="1">
      <alignment horizontal="center" vertical="center" wrapText="1"/>
      <protection hidden="1"/>
    </xf>
    <xf numFmtId="0" fontId="41" fillId="2" borderId="23" xfId="0" applyFont="1" applyFill="1" applyBorder="1" applyAlignment="1" applyProtection="1">
      <alignment horizontal="center" vertical="center" wrapText="1"/>
      <protection hidden="1"/>
    </xf>
    <xf numFmtId="0" fontId="41" fillId="2" borderId="35"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165" fontId="43" fillId="5" borderId="9" xfId="0" applyNumberFormat="1" applyFont="1" applyFill="1" applyBorder="1" applyAlignment="1" applyProtection="1">
      <alignment horizontal="center" vertical="center" wrapText="1"/>
      <protection hidden="1"/>
    </xf>
    <xf numFmtId="1" fontId="43" fillId="7" borderId="9" xfId="0" applyNumberFormat="1" applyFont="1" applyFill="1" applyBorder="1" applyAlignment="1" applyProtection="1">
      <alignment horizontal="center" vertical="center" wrapText="1"/>
      <protection hidden="1"/>
    </xf>
    <xf numFmtId="173" fontId="43" fillId="7" borderId="9" xfId="0" applyNumberFormat="1" applyFont="1" applyFill="1" applyBorder="1" applyAlignment="1" applyProtection="1">
      <alignment horizontal="center" vertical="center" wrapText="1"/>
      <protection hidden="1"/>
    </xf>
    <xf numFmtId="172" fontId="43" fillId="7" borderId="9" xfId="0" applyNumberFormat="1" applyFont="1" applyFill="1" applyBorder="1" applyAlignment="1" applyProtection="1">
      <alignment horizontal="center" vertical="center" wrapText="1"/>
      <protection hidden="1"/>
    </xf>
    <xf numFmtId="167" fontId="43" fillId="7" borderId="9" xfId="0" applyNumberFormat="1" applyFont="1" applyFill="1" applyBorder="1" applyAlignment="1" applyProtection="1">
      <alignment horizontal="center" vertical="center" wrapText="1"/>
      <protection hidden="1"/>
    </xf>
    <xf numFmtId="174" fontId="43" fillId="7" borderId="9" xfId="0" applyNumberFormat="1" applyFont="1" applyFill="1" applyBorder="1" applyAlignment="1" applyProtection="1">
      <alignment horizontal="center" vertical="center" wrapText="1"/>
      <protection hidden="1"/>
    </xf>
    <xf numFmtId="0" fontId="34" fillId="0" borderId="37" xfId="0" applyFont="1" applyFill="1" applyBorder="1" applyAlignment="1" applyProtection="1">
      <alignment horizontal="left" vertical="center" wrapText="1"/>
      <protection hidden="1"/>
    </xf>
    <xf numFmtId="0" fontId="34" fillId="0" borderId="14" xfId="0" applyFont="1" applyFill="1" applyBorder="1" applyAlignment="1" applyProtection="1">
      <alignment horizontal="left" vertical="center" wrapText="1"/>
      <protection hidden="1"/>
    </xf>
    <xf numFmtId="165" fontId="3" fillId="0" borderId="9" xfId="0" applyNumberFormat="1" applyFont="1" applyFill="1" applyBorder="1" applyAlignment="1" applyProtection="1">
      <alignment horizontal="center" vertical="center" wrapText="1"/>
      <protection hidden="1"/>
    </xf>
    <xf numFmtId="164" fontId="43" fillId="0" borderId="9" xfId="0" applyNumberFormat="1" applyFont="1" applyFill="1" applyBorder="1" applyAlignment="1" applyProtection="1">
      <alignment horizontal="center" vertical="center" wrapText="1"/>
      <protection hidden="1"/>
    </xf>
    <xf numFmtId="14" fontId="43" fillId="0" borderId="9" xfId="0" applyNumberFormat="1" applyFont="1" applyFill="1" applyBorder="1" applyAlignment="1" applyProtection="1">
      <alignment horizontal="center" vertical="center" wrapText="1"/>
      <protection hidden="1"/>
    </xf>
    <xf numFmtId="164" fontId="43" fillId="0" borderId="23" xfId="0" applyNumberFormat="1" applyFont="1" applyFill="1" applyBorder="1" applyAlignment="1" applyProtection="1">
      <alignment horizontal="center" vertical="center" wrapText="1"/>
      <protection hidden="1"/>
    </xf>
    <xf numFmtId="0" fontId="43" fillId="0" borderId="23" xfId="0" applyFont="1" applyFill="1" applyBorder="1" applyAlignment="1" applyProtection="1">
      <alignment horizontal="center" vertical="center" wrapText="1"/>
      <protection hidden="1"/>
    </xf>
    <xf numFmtId="14" fontId="43" fillId="0" borderId="23" xfId="0" applyNumberFormat="1" applyFont="1" applyFill="1" applyBorder="1" applyAlignment="1" applyProtection="1">
      <alignment horizontal="center" vertical="center" wrapText="1"/>
      <protection hidden="1"/>
    </xf>
    <xf numFmtId="1" fontId="43" fillId="0" borderId="23" xfId="0" applyNumberFormat="1" applyFont="1" applyFill="1" applyBorder="1" applyAlignment="1" applyProtection="1">
      <alignment horizontal="center" vertical="center" wrapText="1"/>
      <protection hidden="1"/>
    </xf>
    <xf numFmtId="169" fontId="43" fillId="0" borderId="23" xfId="0" applyNumberFormat="1" applyFont="1" applyFill="1" applyBorder="1" applyAlignment="1" applyProtection="1">
      <alignment horizontal="center" vertical="center" wrapText="1"/>
      <protection hidden="1"/>
    </xf>
    <xf numFmtId="172" fontId="43" fillId="0" borderId="23" xfId="0" applyNumberFormat="1" applyFont="1" applyFill="1" applyBorder="1" applyAlignment="1" applyProtection="1">
      <alignment horizontal="center" vertical="center" wrapText="1"/>
      <protection hidden="1"/>
    </xf>
    <xf numFmtId="0" fontId="43" fillId="0" borderId="35" xfId="0" applyFont="1" applyFill="1" applyBorder="1" applyAlignment="1" applyProtection="1">
      <alignment horizontal="center" vertical="center" wrapText="1"/>
      <protection hidden="1"/>
    </xf>
    <xf numFmtId="166" fontId="3" fillId="5" borderId="9" xfId="0" applyNumberFormat="1" applyFont="1" applyFill="1" applyBorder="1" applyAlignment="1" applyProtection="1">
      <alignment horizontal="center" vertical="center" wrapText="1"/>
      <protection hidden="1"/>
    </xf>
    <xf numFmtId="166" fontId="43" fillId="7" borderId="9" xfId="0" applyNumberFormat="1" applyFont="1" applyFill="1" applyBorder="1" applyAlignment="1" applyProtection="1">
      <alignment horizontal="center" vertical="center" wrapText="1"/>
      <protection hidden="1"/>
    </xf>
    <xf numFmtId="171" fontId="41" fillId="2" borderId="23" xfId="0" applyNumberFormat="1" applyFont="1" applyFill="1" applyBorder="1" applyAlignment="1" applyProtection="1">
      <alignment horizontal="center" vertical="center" wrapText="1"/>
      <protection hidden="1"/>
    </xf>
    <xf numFmtId="171" fontId="43" fillId="7" borderId="9" xfId="0" applyNumberFormat="1" applyFont="1" applyFill="1" applyBorder="1" applyAlignment="1" applyProtection="1">
      <alignment horizontal="center" vertical="center" wrapText="1"/>
      <protection hidden="1"/>
    </xf>
    <xf numFmtId="164" fontId="43" fillId="7" borderId="9" xfId="0" applyNumberFormat="1" applyFont="1" applyFill="1" applyBorder="1" applyAlignment="1" applyProtection="1">
      <alignment horizontal="center" vertical="center" wrapText="1"/>
      <protection hidden="1"/>
    </xf>
    <xf numFmtId="0" fontId="3" fillId="5" borderId="9" xfId="0" applyFont="1" applyFill="1" applyBorder="1" applyAlignment="1" applyProtection="1">
      <alignment vertical="center" wrapText="1"/>
      <protection hidden="1"/>
    </xf>
    <xf numFmtId="2" fontId="43" fillId="7" borderId="9" xfId="0" applyNumberFormat="1" applyFont="1" applyFill="1" applyBorder="1" applyAlignment="1" applyProtection="1">
      <alignment horizontal="center" vertical="center" wrapText="1"/>
      <protection hidden="1"/>
    </xf>
    <xf numFmtId="11" fontId="3" fillId="5" borderId="9" xfId="0" applyNumberFormat="1" applyFont="1" applyFill="1" applyBorder="1" applyAlignment="1" applyProtection="1">
      <alignment horizontal="center" vertical="center" wrapText="1"/>
      <protection hidden="1"/>
    </xf>
    <xf numFmtId="11" fontId="43" fillId="7" borderId="9" xfId="0" applyNumberFormat="1" applyFont="1" applyFill="1" applyBorder="1" applyAlignment="1" applyProtection="1">
      <alignment horizontal="center" vertical="center" wrapText="1"/>
      <protection hidden="1"/>
    </xf>
    <xf numFmtId="0" fontId="48" fillId="5" borderId="9" xfId="0" applyFont="1" applyFill="1" applyBorder="1" applyAlignment="1" applyProtection="1">
      <alignment horizontal="center" vertical="center" wrapText="1"/>
      <protection hidden="1"/>
    </xf>
    <xf numFmtId="0" fontId="41" fillId="2" borderId="10" xfId="0" applyFont="1" applyFill="1" applyBorder="1" applyAlignment="1" applyProtection="1">
      <alignment horizontal="center" vertical="center" wrapText="1"/>
      <protection hidden="1"/>
    </xf>
    <xf numFmtId="169" fontId="24" fillId="7" borderId="9" xfId="0" applyNumberFormat="1" applyFont="1" applyFill="1" applyBorder="1" applyAlignment="1" applyProtection="1">
      <alignment horizontal="center" vertical="center" wrapText="1"/>
      <protection hidden="1"/>
    </xf>
    <xf numFmtId="0" fontId="7" fillId="2" borderId="10" xfId="0" applyFont="1" applyFill="1" applyBorder="1" applyAlignment="1" applyProtection="1">
      <alignment horizontal="right" vertical="center" wrapText="1"/>
      <protection hidden="1"/>
    </xf>
    <xf numFmtId="0" fontId="43" fillId="2" borderId="0" xfId="0" applyFont="1" applyFill="1" applyBorder="1" applyAlignment="1" applyProtection="1">
      <alignment vertical="center" wrapText="1"/>
      <protection hidden="1"/>
    </xf>
    <xf numFmtId="0" fontId="50" fillId="2" borderId="54" xfId="0" applyFont="1" applyFill="1" applyBorder="1" applyAlignment="1" applyProtection="1">
      <alignment vertical="center" wrapText="1"/>
      <protection hidden="1"/>
    </xf>
    <xf numFmtId="0" fontId="50" fillId="2" borderId="13" xfId="0" applyFont="1" applyFill="1" applyBorder="1" applyAlignment="1" applyProtection="1">
      <alignment vertical="center" wrapText="1"/>
      <protection hidden="1"/>
    </xf>
    <xf numFmtId="167" fontId="4" fillId="7" borderId="71" xfId="0" applyNumberFormat="1" applyFont="1" applyFill="1" applyBorder="1" applyAlignment="1" applyProtection="1">
      <alignment horizontal="center" vertical="center" wrapText="1"/>
      <protection hidden="1"/>
    </xf>
    <xf numFmtId="0" fontId="24" fillId="2" borderId="2" xfId="0" applyFont="1" applyFill="1" applyBorder="1" applyAlignment="1" applyProtection="1">
      <alignment vertical="center" wrapText="1"/>
      <protection hidden="1"/>
    </xf>
    <xf numFmtId="0" fontId="50" fillId="2" borderId="0" xfId="0" applyFont="1" applyFill="1" applyBorder="1" applyAlignment="1" applyProtection="1">
      <alignment horizontal="center" vertical="center" wrapText="1"/>
      <protection hidden="1"/>
    </xf>
    <xf numFmtId="167" fontId="4" fillId="7" borderId="74" xfId="0" applyNumberFormat="1" applyFont="1" applyFill="1" applyBorder="1" applyAlignment="1" applyProtection="1">
      <alignment horizontal="center" vertical="center" wrapText="1"/>
      <protection hidden="1"/>
    </xf>
    <xf numFmtId="2" fontId="5" fillId="7" borderId="65" xfId="0" applyNumberFormat="1" applyFont="1" applyFill="1" applyBorder="1" applyAlignment="1" applyProtection="1">
      <alignment horizontal="center" vertical="center" wrapText="1"/>
      <protection hidden="1"/>
    </xf>
    <xf numFmtId="2" fontId="3" fillId="7" borderId="39" xfId="0" applyNumberFormat="1" applyFont="1" applyFill="1" applyBorder="1" applyAlignment="1" applyProtection="1">
      <alignment horizontal="center" vertical="center"/>
      <protection hidden="1"/>
    </xf>
    <xf numFmtId="0" fontId="49" fillId="0" borderId="0" xfId="0" applyFont="1" applyFill="1" applyBorder="1" applyAlignment="1" applyProtection="1">
      <alignment vertical="center" wrapText="1"/>
      <protection hidden="1"/>
    </xf>
    <xf numFmtId="167" fontId="2" fillId="6" borderId="9" xfId="0" applyNumberFormat="1" applyFont="1" applyFill="1" applyBorder="1" applyAlignment="1" applyProtection="1">
      <alignment horizontal="center" vertical="center" wrapText="1"/>
      <protection locked="0" hidden="1"/>
    </xf>
    <xf numFmtId="0" fontId="2" fillId="6" borderId="46" xfId="0" applyFont="1" applyFill="1" applyBorder="1" applyAlignment="1" applyProtection="1">
      <alignment horizontal="center" vertical="center" wrapText="1"/>
      <protection locked="0" hidden="1"/>
    </xf>
    <xf numFmtId="0" fontId="2" fillId="6" borderId="9" xfId="0" applyFont="1" applyFill="1" applyBorder="1" applyAlignment="1" applyProtection="1">
      <alignment horizontal="center" vertical="center" wrapText="1"/>
      <protection locked="0" hidden="1"/>
    </xf>
    <xf numFmtId="166" fontId="3" fillId="6" borderId="9" xfId="0" applyNumberFormat="1" applyFont="1" applyFill="1" applyBorder="1" applyAlignment="1" applyProtection="1">
      <alignment horizontal="center" vertical="center"/>
      <protection locked="0" hidden="1"/>
    </xf>
    <xf numFmtId="0" fontId="3" fillId="6" borderId="9" xfId="0" applyFont="1" applyFill="1" applyBorder="1" applyAlignment="1" applyProtection="1">
      <alignment horizontal="center" vertical="center"/>
      <protection locked="0" hidden="1"/>
    </xf>
    <xf numFmtId="0" fontId="3" fillId="6" borderId="9" xfId="0" applyFont="1" applyFill="1" applyBorder="1" applyAlignment="1" applyProtection="1">
      <alignment horizontal="center" vertical="center" wrapText="1"/>
      <protection locked="0" hidden="1"/>
    </xf>
    <xf numFmtId="0" fontId="3" fillId="6" borderId="36" xfId="0" applyFont="1" applyFill="1" applyBorder="1" applyAlignment="1" applyProtection="1">
      <alignment horizontal="center" vertical="center" wrapText="1"/>
      <protection locked="0" hidden="1"/>
    </xf>
    <xf numFmtId="0" fontId="3" fillId="6" borderId="39" xfId="0" applyFont="1" applyFill="1" applyBorder="1" applyAlignment="1" applyProtection="1">
      <alignment horizontal="center" vertical="center" wrapText="1"/>
      <protection locked="0" hidden="1"/>
    </xf>
    <xf numFmtId="0" fontId="24" fillId="0" borderId="10" xfId="0" applyFont="1" applyFill="1" applyBorder="1" applyAlignment="1" applyProtection="1">
      <alignment vertical="center" wrapText="1"/>
      <protection locked="0" hidden="1"/>
    </xf>
    <xf numFmtId="0" fontId="24" fillId="0" borderId="0" xfId="0" applyFont="1" applyFill="1" applyBorder="1" applyAlignment="1" applyProtection="1">
      <alignment vertical="center" wrapText="1"/>
      <protection locked="0" hidden="1"/>
    </xf>
    <xf numFmtId="0" fontId="24" fillId="0" borderId="51" xfId="0" applyFont="1" applyFill="1" applyBorder="1" applyAlignment="1" applyProtection="1">
      <alignment vertical="center" wrapText="1"/>
      <protection locked="0" hidden="1"/>
    </xf>
    <xf numFmtId="0" fontId="24" fillId="0" borderId="49" xfId="0" applyFont="1" applyFill="1" applyBorder="1" applyAlignment="1" applyProtection="1">
      <alignment vertical="center" wrapText="1"/>
      <protection locked="0" hidden="1"/>
    </xf>
    <xf numFmtId="0" fontId="24" fillId="0" borderId="5" xfId="0" applyFont="1" applyFill="1" applyBorder="1" applyAlignment="1" applyProtection="1">
      <alignment vertical="center" wrapText="1"/>
      <protection locked="0" hidden="1"/>
    </xf>
    <xf numFmtId="0" fontId="24" fillId="0" borderId="40" xfId="0" applyFont="1" applyFill="1" applyBorder="1" applyAlignment="1" applyProtection="1">
      <alignment vertical="center" wrapText="1"/>
      <protection locked="0" hidden="1"/>
    </xf>
    <xf numFmtId="0" fontId="9" fillId="25" borderId="76" xfId="6" applyBorder="1" applyAlignment="1" applyProtection="1">
      <alignment horizontal="center" wrapText="1"/>
      <protection locked="0" hidden="1"/>
    </xf>
    <xf numFmtId="0" fontId="9" fillId="25" borderId="75" xfId="6" applyBorder="1" applyAlignment="1" applyProtection="1">
      <alignment horizontal="center" wrapText="1"/>
      <protection locked="0" hidden="1"/>
    </xf>
    <xf numFmtId="0" fontId="9" fillId="25" borderId="52" xfId="6" applyBorder="1" applyAlignment="1" applyProtection="1">
      <alignment horizontal="center" wrapText="1"/>
      <protection locked="0" hidden="1"/>
    </xf>
    <xf numFmtId="0" fontId="9" fillId="25" borderId="1" xfId="6" applyBorder="1" applyAlignment="1" applyProtection="1">
      <alignment horizontal="center" vertical="center"/>
      <protection locked="0" hidden="1"/>
    </xf>
    <xf numFmtId="14" fontId="24" fillId="16" borderId="22" xfId="0" applyNumberFormat="1" applyFont="1" applyFill="1" applyBorder="1" applyAlignment="1" applyProtection="1">
      <alignment horizontal="center" vertical="center" wrapText="1"/>
      <protection hidden="1"/>
    </xf>
    <xf numFmtId="0" fontId="7" fillId="17" borderId="19" xfId="0" applyFont="1" applyFill="1" applyBorder="1" applyAlignment="1" applyProtection="1">
      <alignment horizontal="left" vertical="center" wrapText="1"/>
      <protection hidden="1"/>
    </xf>
    <xf numFmtId="0" fontId="7" fillId="17" borderId="22" xfId="0" applyFont="1" applyFill="1" applyBorder="1" applyAlignment="1" applyProtection="1">
      <alignment horizontal="center" vertical="center" wrapText="1"/>
      <protection hidden="1"/>
    </xf>
    <xf numFmtId="0" fontId="7" fillId="17" borderId="22" xfId="0" applyFont="1" applyFill="1" applyBorder="1" applyAlignment="1" applyProtection="1">
      <alignment horizontal="center" vertical="top" wrapText="1"/>
      <protection hidden="1"/>
    </xf>
    <xf numFmtId="0" fontId="24" fillId="2" borderId="4" xfId="0" applyFont="1" applyFill="1" applyBorder="1" applyAlignment="1" applyProtection="1">
      <alignment horizontal="center" vertical="center" wrapText="1"/>
      <protection hidden="1"/>
    </xf>
    <xf numFmtId="0" fontId="24" fillId="2" borderId="51" xfId="0" applyFont="1" applyFill="1" applyBorder="1" applyAlignment="1" applyProtection="1">
      <alignment horizontal="center" vertical="center" wrapText="1"/>
      <protection hidden="1"/>
    </xf>
    <xf numFmtId="0" fontId="24" fillId="0" borderId="51" xfId="0" applyFont="1" applyFill="1" applyBorder="1" applyAlignment="1" applyProtection="1">
      <alignment horizontal="center" vertical="center" wrapText="1"/>
      <protection hidden="1"/>
    </xf>
    <xf numFmtId="14" fontId="24" fillId="13" borderId="11" xfId="0" applyNumberFormat="1" applyFont="1" applyFill="1" applyBorder="1" applyAlignment="1" applyProtection="1">
      <alignment horizontal="center" vertical="center" wrapText="1"/>
      <protection hidden="1"/>
    </xf>
    <xf numFmtId="0" fontId="24" fillId="13" borderId="12" xfId="0" applyFont="1" applyFill="1" applyBorder="1" applyAlignment="1" applyProtection="1">
      <alignment horizontal="center" vertical="center" wrapText="1"/>
      <protection hidden="1"/>
    </xf>
    <xf numFmtId="0" fontId="7" fillId="17" borderId="32" xfId="0" applyFont="1" applyFill="1" applyBorder="1" applyAlignment="1" applyProtection="1">
      <alignment horizontal="left" vertical="center" wrapText="1"/>
      <protection hidden="1"/>
    </xf>
    <xf numFmtId="0" fontId="24" fillId="13" borderId="18" xfId="0" applyFont="1" applyFill="1" applyBorder="1" applyAlignment="1" applyProtection="1">
      <alignment horizontal="center" vertical="center" wrapText="1"/>
      <protection hidden="1"/>
    </xf>
    <xf numFmtId="0" fontId="24" fillId="0" borderId="66" xfId="0" applyFont="1" applyFill="1" applyBorder="1" applyAlignment="1" applyProtection="1">
      <alignment horizontal="center" vertical="center" wrapText="1"/>
      <protection hidden="1"/>
    </xf>
    <xf numFmtId="0" fontId="24" fillId="0" borderId="40" xfId="0" applyFont="1" applyFill="1" applyBorder="1" applyAlignment="1" applyProtection="1">
      <alignment horizontal="center" vertical="center" wrapText="1"/>
      <protection hidden="1"/>
    </xf>
    <xf numFmtId="0" fontId="4" fillId="17" borderId="60" xfId="0" applyFont="1" applyFill="1" applyBorder="1" applyAlignment="1" applyProtection="1">
      <alignment horizontal="center" vertical="center" wrapText="1"/>
      <protection hidden="1"/>
    </xf>
    <xf numFmtId="0" fontId="4" fillId="17" borderId="50" xfId="0" applyFont="1" applyFill="1" applyBorder="1" applyAlignment="1" applyProtection="1">
      <alignment horizontal="center" vertical="center" wrapText="1"/>
      <protection hidden="1"/>
    </xf>
    <xf numFmtId="0" fontId="4" fillId="17" borderId="33" xfId="0" applyFont="1" applyFill="1" applyBorder="1" applyAlignment="1" applyProtection="1">
      <alignment horizontal="center" vertical="center" wrapText="1"/>
      <protection hidden="1"/>
    </xf>
    <xf numFmtId="0" fontId="4" fillId="17" borderId="56" xfId="0" applyFont="1" applyFill="1" applyBorder="1" applyAlignment="1" applyProtection="1">
      <alignment horizontal="center" vertical="center" wrapText="1"/>
      <protection hidden="1"/>
    </xf>
    <xf numFmtId="0" fontId="7" fillId="17" borderId="37" xfId="0" applyFont="1" applyFill="1" applyBorder="1" applyAlignment="1" applyProtection="1">
      <alignment vertical="center" wrapText="1"/>
      <protection hidden="1"/>
    </xf>
    <xf numFmtId="0" fontId="7" fillId="17" borderId="14" xfId="0" applyFont="1" applyFill="1" applyBorder="1" applyAlignment="1" applyProtection="1">
      <alignment vertical="center" wrapText="1"/>
      <protection hidden="1"/>
    </xf>
    <xf numFmtId="0" fontId="7" fillId="17" borderId="58" xfId="0" applyFont="1" applyFill="1" applyBorder="1" applyAlignment="1" applyProtection="1">
      <alignment vertical="center" wrapText="1"/>
      <protection hidden="1"/>
    </xf>
    <xf numFmtId="0" fontId="7" fillId="17" borderId="59" xfId="0" applyFont="1" applyFill="1" applyBorder="1" applyAlignment="1" applyProtection="1">
      <alignment vertical="center" wrapText="1"/>
      <protection hidden="1"/>
    </xf>
    <xf numFmtId="0" fontId="21" fillId="17" borderId="18" xfId="0" applyFont="1" applyFill="1" applyBorder="1" applyAlignment="1" applyProtection="1">
      <alignment horizontal="center" vertical="center" wrapText="1"/>
      <protection hidden="1"/>
    </xf>
    <xf numFmtId="0" fontId="21" fillId="17" borderId="38" xfId="0" applyFont="1" applyFill="1" applyBorder="1" applyAlignment="1" applyProtection="1">
      <alignment horizontal="center" vertical="center" wrapText="1"/>
      <protection hidden="1"/>
    </xf>
    <xf numFmtId="0" fontId="24" fillId="5" borderId="32" xfId="0" applyFont="1" applyFill="1" applyBorder="1" applyAlignment="1" applyProtection="1">
      <alignment horizontal="center" vertical="center" wrapText="1"/>
      <protection hidden="1"/>
    </xf>
    <xf numFmtId="0" fontId="24" fillId="5" borderId="18" xfId="0" applyFont="1" applyFill="1" applyBorder="1" applyAlignment="1" applyProtection="1">
      <alignment horizontal="center" vertical="center" wrapText="1"/>
      <protection hidden="1"/>
    </xf>
    <xf numFmtId="0" fontId="24" fillId="5" borderId="38" xfId="0" applyFont="1" applyFill="1" applyBorder="1" applyAlignment="1" applyProtection="1">
      <alignment horizontal="center" vertical="center" wrapText="1"/>
      <protection hidden="1"/>
    </xf>
    <xf numFmtId="0" fontId="5" fillId="19" borderId="73" xfId="0" applyFont="1" applyFill="1" applyBorder="1" applyAlignment="1" applyProtection="1">
      <alignment horizontal="center" vertical="center" wrapText="1"/>
      <protection hidden="1"/>
    </xf>
    <xf numFmtId="2" fontId="7" fillId="27" borderId="1" xfId="0" applyNumberFormat="1" applyFont="1" applyFill="1" applyBorder="1" applyAlignment="1" applyProtection="1">
      <alignment horizontal="center" vertical="center" wrapText="1"/>
      <protection hidden="1"/>
    </xf>
    <xf numFmtId="0" fontId="5" fillId="19" borderId="79" xfId="0" applyFont="1" applyFill="1" applyBorder="1" applyAlignment="1" applyProtection="1">
      <alignment horizontal="center" vertical="center" wrapText="1"/>
      <protection hidden="1"/>
    </xf>
    <xf numFmtId="2" fontId="7" fillId="27" borderId="52" xfId="0" applyNumberFormat="1" applyFont="1" applyFill="1" applyBorder="1" applyAlignment="1" applyProtection="1">
      <alignment horizontal="center" vertical="center" wrapText="1"/>
      <protection hidden="1"/>
    </xf>
    <xf numFmtId="0" fontId="39" fillId="2" borderId="23" xfId="0" applyFont="1" applyFill="1" applyBorder="1" applyAlignment="1" applyProtection="1">
      <alignment horizontal="left" vertical="center" wrapText="1"/>
      <protection hidden="1"/>
    </xf>
    <xf numFmtId="0" fontId="41" fillId="2" borderId="11" xfId="0" applyFont="1" applyFill="1" applyBorder="1" applyAlignment="1" applyProtection="1">
      <alignment horizontal="center" vertical="center" wrapText="1"/>
      <protection hidden="1"/>
    </xf>
    <xf numFmtId="176" fontId="43" fillId="7" borderId="9" xfId="0" applyNumberFormat="1" applyFont="1" applyFill="1" applyBorder="1" applyAlignment="1" applyProtection="1">
      <alignment horizontal="center" vertical="center" wrapText="1"/>
      <protection hidden="1"/>
    </xf>
    <xf numFmtId="0" fontId="3" fillId="5" borderId="46" xfId="0" applyFont="1" applyFill="1" applyBorder="1" applyAlignment="1" applyProtection="1">
      <alignment horizontal="center" vertical="center" wrapText="1"/>
      <protection hidden="1"/>
    </xf>
    <xf numFmtId="168" fontId="43" fillId="7" borderId="46" xfId="0" applyNumberFormat="1" applyFont="1" applyFill="1" applyBorder="1" applyAlignment="1" applyProtection="1">
      <alignment horizontal="center" vertical="center" wrapText="1"/>
      <protection hidden="1"/>
    </xf>
    <xf numFmtId="169" fontId="43" fillId="7" borderId="46" xfId="0" applyNumberFormat="1" applyFont="1" applyFill="1" applyBorder="1" applyAlignment="1" applyProtection="1">
      <alignment horizontal="center" vertical="center" wrapText="1"/>
      <protection hidden="1"/>
    </xf>
    <xf numFmtId="173" fontId="43" fillId="7" borderId="46" xfId="0" applyNumberFormat="1" applyFont="1" applyFill="1" applyBorder="1" applyAlignment="1" applyProtection="1">
      <alignment horizontal="center" vertical="center" wrapText="1"/>
      <protection hidden="1"/>
    </xf>
    <xf numFmtId="172" fontId="43" fillId="7" borderId="46" xfId="0" applyNumberFormat="1" applyFont="1" applyFill="1" applyBorder="1" applyAlignment="1" applyProtection="1">
      <alignment horizontal="center" vertical="center" wrapText="1"/>
      <protection hidden="1"/>
    </xf>
    <xf numFmtId="164" fontId="43" fillId="7" borderId="46" xfId="0" applyNumberFormat="1" applyFont="1" applyFill="1" applyBorder="1" applyAlignment="1" applyProtection="1">
      <alignment horizontal="center" vertical="center" wrapText="1"/>
      <protection hidden="1"/>
    </xf>
    <xf numFmtId="0" fontId="24" fillId="6" borderId="14" xfId="0" applyFont="1" applyFill="1" applyBorder="1" applyAlignment="1" applyProtection="1">
      <alignment horizontal="center" vertical="center" wrapText="1"/>
      <protection locked="0" hidden="1"/>
    </xf>
    <xf numFmtId="0" fontId="24" fillId="6" borderId="36" xfId="0" applyFont="1" applyFill="1" applyBorder="1" applyAlignment="1" applyProtection="1">
      <alignment horizontal="center" vertical="center" wrapText="1"/>
      <protection locked="0" hidden="1"/>
    </xf>
    <xf numFmtId="0" fontId="24" fillId="6" borderId="9" xfId="0" applyFont="1" applyFill="1" applyBorder="1" applyAlignment="1" applyProtection="1">
      <alignment horizontal="center" vertical="center" wrapText="1"/>
      <protection locked="0" hidden="1"/>
    </xf>
    <xf numFmtId="1" fontId="3" fillId="6" borderId="9" xfId="0" applyNumberFormat="1" applyFont="1" applyFill="1" applyBorder="1" applyAlignment="1" applyProtection="1">
      <alignment horizontal="center" vertical="center"/>
      <protection locked="0" hidden="1"/>
    </xf>
    <xf numFmtId="1" fontId="3" fillId="6" borderId="9" xfId="0" applyNumberFormat="1" applyFont="1" applyFill="1" applyBorder="1" applyAlignment="1" applyProtection="1">
      <alignment horizontal="center" vertical="center" wrapText="1"/>
      <protection locked="0" hidden="1"/>
    </xf>
    <xf numFmtId="0" fontId="3" fillId="6" borderId="62" xfId="0" applyFont="1" applyFill="1" applyBorder="1" applyAlignment="1" applyProtection="1">
      <alignment horizontal="center" vertical="center" wrapText="1"/>
      <protection locked="0" hidden="1"/>
    </xf>
    <xf numFmtId="0" fontId="3" fillId="0" borderId="2" xfId="0" applyFont="1" applyFill="1" applyBorder="1" applyAlignment="1" applyProtection="1">
      <alignment horizontal="center" vertical="center" wrapText="1"/>
      <protection hidden="1"/>
    </xf>
    <xf numFmtId="0" fontId="9" fillId="25" borderId="1" xfId="6" applyBorder="1" applyAlignment="1" applyProtection="1">
      <alignment horizontal="center" wrapText="1"/>
      <protection locked="0" hidden="1"/>
    </xf>
    <xf numFmtId="0" fontId="9" fillId="25" borderId="1"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0" fontId="2" fillId="2" borderId="8" xfId="0" applyFont="1" applyFill="1" applyBorder="1" applyAlignment="1" applyProtection="1">
      <alignment vertical="center" wrapText="1"/>
      <protection hidden="1"/>
    </xf>
    <xf numFmtId="0" fontId="2" fillId="2" borderId="0" xfId="0" applyFont="1" applyFill="1" applyBorder="1" applyAlignment="1" applyProtection="1">
      <alignment horizontal="center" vertical="center"/>
      <protection hidden="1"/>
    </xf>
    <xf numFmtId="0" fontId="2" fillId="0" borderId="0" xfId="0" applyFont="1" applyAlignment="1" applyProtection="1">
      <alignment vertical="center" wrapText="1"/>
      <protection hidden="1"/>
    </xf>
    <xf numFmtId="0" fontId="2"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center" vertical="center" wrapText="1"/>
      <protection hidden="1"/>
    </xf>
    <xf numFmtId="0" fontId="2" fillId="2" borderId="0" xfId="0" applyFont="1" applyFill="1" applyAlignment="1" applyProtection="1">
      <alignment vertical="center" wrapText="1"/>
      <protection hidden="1"/>
    </xf>
    <xf numFmtId="0" fontId="2" fillId="2" borderId="0" xfId="0" applyFont="1" applyFill="1" applyProtection="1">
      <protection hidden="1"/>
    </xf>
    <xf numFmtId="11" fontId="2" fillId="2" borderId="0" xfId="0" applyNumberFormat="1" applyFont="1" applyFill="1" applyBorder="1" applyAlignment="1" applyProtection="1">
      <alignment horizontal="center" vertical="center"/>
      <protection hidden="1"/>
    </xf>
    <xf numFmtId="0" fontId="7" fillId="22" borderId="7" xfId="0" applyFont="1" applyFill="1" applyBorder="1" applyAlignment="1" applyProtection="1">
      <alignment horizontal="center" vertical="center" wrapText="1"/>
      <protection hidden="1"/>
    </xf>
    <xf numFmtId="0" fontId="7" fillId="22" borderId="22" xfId="0" applyFont="1" applyFill="1" applyBorder="1" applyAlignment="1" applyProtection="1">
      <alignment horizontal="center" vertical="center" wrapText="1"/>
      <protection hidden="1"/>
    </xf>
    <xf numFmtId="0" fontId="7" fillId="22" borderId="20" xfId="0" applyFont="1" applyFill="1" applyBorder="1" applyAlignment="1" applyProtection="1">
      <alignment horizontal="center" vertical="center" wrapText="1"/>
      <protection hidden="1"/>
    </xf>
    <xf numFmtId="0" fontId="2" fillId="22" borderId="8" xfId="0" applyFont="1" applyFill="1" applyBorder="1" applyAlignment="1" applyProtection="1">
      <alignment horizontal="center" vertical="center"/>
      <protection hidden="1"/>
    </xf>
    <xf numFmtId="1" fontId="24" fillId="6" borderId="29" xfId="0" applyNumberFormat="1" applyFont="1" applyFill="1" applyBorder="1" applyAlignment="1" applyProtection="1">
      <alignment horizontal="center" vertical="center" wrapText="1"/>
      <protection hidden="1"/>
    </xf>
    <xf numFmtId="0" fontId="2" fillId="2" borderId="0" xfId="1" applyFont="1" applyFill="1" applyBorder="1" applyAlignment="1" applyProtection="1">
      <alignment horizontal="center" vertical="center"/>
      <protection hidden="1"/>
    </xf>
    <xf numFmtId="11" fontId="2" fillId="2" borderId="0" xfId="1" applyNumberFormat="1" applyFont="1" applyFill="1" applyBorder="1" applyAlignment="1" applyProtection="1">
      <alignment horizontal="center" vertical="center"/>
      <protection hidden="1"/>
    </xf>
    <xf numFmtId="1" fontId="24" fillId="16" borderId="19" xfId="0" applyNumberFormat="1" applyFont="1" applyFill="1" applyBorder="1" applyAlignment="1" applyProtection="1">
      <alignment horizontal="center" vertical="center" wrapText="1"/>
      <protection hidden="1"/>
    </xf>
    <xf numFmtId="0" fontId="2" fillId="20" borderId="7" xfId="0" applyFont="1" applyFill="1" applyBorder="1" applyAlignment="1" applyProtection="1">
      <alignment horizontal="center" vertical="center"/>
      <protection hidden="1"/>
    </xf>
    <xf numFmtId="2" fontId="24" fillId="20" borderId="22" xfId="0" applyNumberFormat="1" applyFont="1" applyFill="1" applyBorder="1" applyAlignment="1" applyProtection="1">
      <alignment horizontal="center" vertical="center" wrapText="1"/>
      <protection hidden="1"/>
    </xf>
    <xf numFmtId="1" fontId="24" fillId="16" borderId="22" xfId="0" applyNumberFormat="1" applyFont="1" applyFill="1" applyBorder="1" applyAlignment="1" applyProtection="1">
      <alignment horizontal="center" vertical="center" wrapText="1"/>
      <protection hidden="1"/>
    </xf>
    <xf numFmtId="167" fontId="24" fillId="16" borderId="22" xfId="0" applyNumberFormat="1" applyFont="1" applyFill="1" applyBorder="1" applyAlignment="1" applyProtection="1">
      <alignment horizontal="center" vertical="center" wrapText="1"/>
      <protection hidden="1"/>
    </xf>
    <xf numFmtId="167" fontId="24" fillId="20" borderId="20" xfId="0" applyNumberFormat="1" applyFont="1" applyFill="1" applyBorder="1" applyAlignment="1" applyProtection="1">
      <alignment horizontal="center" vertical="center" wrapText="1"/>
      <protection hidden="1"/>
    </xf>
    <xf numFmtId="1" fontId="2" fillId="20" borderId="8" xfId="0" applyNumberFormat="1" applyFont="1" applyFill="1" applyBorder="1" applyAlignment="1" applyProtection="1">
      <alignment horizontal="center" vertical="center"/>
      <protection hidden="1"/>
    </xf>
    <xf numFmtId="0" fontId="2" fillId="2" borderId="2" xfId="0" applyFont="1" applyFill="1" applyBorder="1" applyProtection="1">
      <protection hidden="1"/>
    </xf>
    <xf numFmtId="0" fontId="2" fillId="2" borderId="3" xfId="0" applyFont="1" applyFill="1" applyBorder="1" applyProtection="1">
      <protection hidden="1"/>
    </xf>
    <xf numFmtId="0" fontId="2" fillId="2" borderId="10" xfId="0" applyFont="1" applyFill="1" applyBorder="1" applyProtection="1">
      <protection hidden="1"/>
    </xf>
    <xf numFmtId="0" fontId="2" fillId="2" borderId="0" xfId="0" applyFont="1" applyFill="1" applyBorder="1" applyProtection="1">
      <protection hidden="1"/>
    </xf>
    <xf numFmtId="0" fontId="2" fillId="0" borderId="2" xfId="0" applyFont="1" applyBorder="1" applyAlignment="1" applyProtection="1">
      <alignment horizontal="center" vertical="center"/>
      <protection hidden="1"/>
    </xf>
    <xf numFmtId="0" fontId="2" fillId="0" borderId="76" xfId="0" applyFont="1" applyBorder="1" applyAlignment="1" applyProtection="1">
      <alignment horizontal="center" vertical="center"/>
      <protection hidden="1"/>
    </xf>
    <xf numFmtId="0" fontId="1" fillId="2" borderId="80" xfId="0" applyFont="1" applyFill="1" applyBorder="1" applyAlignment="1" applyProtection="1">
      <alignment horizontal="right"/>
      <protection hidden="1"/>
    </xf>
    <xf numFmtId="0" fontId="2" fillId="2" borderId="0" xfId="0" applyFont="1" applyFill="1" applyBorder="1" applyAlignment="1" applyProtection="1">
      <alignment horizontal="right" vertical="top"/>
      <protection hidden="1"/>
    </xf>
    <xf numFmtId="2" fontId="2" fillId="13" borderId="9" xfId="0" applyNumberFormat="1" applyFont="1" applyFill="1" applyBorder="1" applyAlignment="1" applyProtection="1">
      <alignment horizontal="center" vertical="center"/>
      <protection hidden="1"/>
    </xf>
    <xf numFmtId="2" fontId="2" fillId="5" borderId="36" xfId="0" applyNumberFormat="1" applyFont="1" applyFill="1" applyBorder="1" applyAlignment="1" applyProtection="1">
      <alignment horizontal="center" vertical="center"/>
      <protection hidden="1"/>
    </xf>
    <xf numFmtId="2" fontId="24" fillId="16" borderId="58" xfId="0" applyNumberFormat="1" applyFont="1" applyFill="1" applyBorder="1" applyAlignment="1" applyProtection="1">
      <alignment vertical="center" wrapText="1"/>
      <protection hidden="1"/>
    </xf>
    <xf numFmtId="2" fontId="24" fillId="16" borderId="59" xfId="0" applyNumberFormat="1" applyFont="1" applyFill="1" applyBorder="1" applyAlignment="1" applyProtection="1">
      <alignment vertical="center" wrapText="1"/>
      <protection hidden="1"/>
    </xf>
    <xf numFmtId="1" fontId="24" fillId="16" borderId="57" xfId="0" applyNumberFormat="1" applyFont="1" applyFill="1" applyBorder="1" applyAlignment="1" applyProtection="1">
      <alignment vertical="center" wrapText="1"/>
      <protection hidden="1"/>
    </xf>
    <xf numFmtId="1" fontId="24" fillId="16" borderId="63" xfId="0" applyNumberFormat="1" applyFont="1" applyFill="1" applyBorder="1" applyAlignment="1" applyProtection="1">
      <alignment vertical="center" wrapText="1"/>
      <protection hidden="1"/>
    </xf>
    <xf numFmtId="0" fontId="1" fillId="5" borderId="45" xfId="0" applyFont="1" applyFill="1" applyBorder="1" applyAlignment="1" applyProtection="1">
      <alignment horizontal="center" vertical="center"/>
      <protection hidden="1"/>
    </xf>
    <xf numFmtId="0" fontId="2" fillId="13" borderId="39" xfId="0" applyFont="1" applyFill="1" applyBorder="1" applyAlignment="1" applyProtection="1">
      <alignment horizontal="center" vertical="center"/>
      <protection hidden="1"/>
    </xf>
    <xf numFmtId="0" fontId="1" fillId="2" borderId="81" xfId="0" applyFont="1" applyFill="1" applyBorder="1" applyAlignment="1" applyProtection="1">
      <alignment horizontal="right"/>
      <protection hidden="1"/>
    </xf>
    <xf numFmtId="0" fontId="2" fillId="2" borderId="82" xfId="0" applyFont="1" applyFill="1" applyBorder="1" applyAlignment="1" applyProtection="1">
      <alignment horizontal="right" vertical="top"/>
      <protection hidden="1"/>
    </xf>
    <xf numFmtId="0" fontId="2" fillId="2" borderId="5" xfId="0" applyFont="1" applyFill="1" applyBorder="1" applyProtection="1">
      <protection hidden="1"/>
    </xf>
    <xf numFmtId="0" fontId="1" fillId="2" borderId="5" xfId="0" applyFont="1" applyFill="1" applyBorder="1" applyAlignment="1" applyProtection="1">
      <alignment horizontal="center"/>
      <protection hidden="1"/>
    </xf>
    <xf numFmtId="2" fontId="2" fillId="13" borderId="46" xfId="0" applyNumberFormat="1" applyFont="1" applyFill="1" applyBorder="1" applyAlignment="1" applyProtection="1">
      <alignment horizontal="center" vertical="center"/>
      <protection hidden="1"/>
    </xf>
    <xf numFmtId="2" fontId="2" fillId="5" borderId="39" xfId="0" applyNumberFormat="1" applyFont="1" applyFill="1" applyBorder="1" applyAlignment="1" applyProtection="1">
      <alignment horizontal="center" vertical="center"/>
      <protection hidden="1"/>
    </xf>
    <xf numFmtId="0" fontId="1" fillId="2" borderId="7" xfId="0" applyFont="1" applyFill="1" applyBorder="1" applyAlignment="1" applyProtection="1">
      <alignment horizontal="right"/>
      <protection hidden="1"/>
    </xf>
    <xf numFmtId="0" fontId="59" fillId="4" borderId="32" xfId="0" applyFont="1" applyFill="1" applyBorder="1" applyAlignment="1" applyProtection="1">
      <alignment horizontal="center" vertical="center" wrapText="1"/>
      <protection hidden="1"/>
    </xf>
    <xf numFmtId="2" fontId="2" fillId="13" borderId="55" xfId="0" applyNumberFormat="1" applyFont="1" applyFill="1" applyBorder="1" applyAlignment="1" applyProtection="1">
      <alignment horizontal="center" vertical="center"/>
      <protection hidden="1"/>
    </xf>
    <xf numFmtId="2" fontId="2" fillId="14" borderId="38" xfId="0" applyNumberFormat="1" applyFont="1" applyFill="1" applyBorder="1" applyAlignment="1" applyProtection="1">
      <alignment horizontal="center" vertical="center"/>
      <protection hidden="1"/>
    </xf>
    <xf numFmtId="0" fontId="4" fillId="4" borderId="34" xfId="0" applyFont="1" applyFill="1" applyBorder="1" applyAlignment="1" applyProtection="1">
      <alignment vertical="top" wrapText="1"/>
      <protection hidden="1"/>
    </xf>
    <xf numFmtId="165" fontId="2" fillId="13" borderId="36" xfId="0" applyNumberFormat="1" applyFont="1" applyFill="1" applyBorder="1" applyAlignment="1" applyProtection="1">
      <alignment horizontal="center" vertical="center"/>
      <protection hidden="1"/>
    </xf>
    <xf numFmtId="0" fontId="2" fillId="2" borderId="0" xfId="1" applyFont="1" applyFill="1" applyBorder="1" applyAlignment="1" applyProtection="1">
      <protection hidden="1"/>
    </xf>
    <xf numFmtId="0" fontId="4" fillId="4" borderId="45" xfId="0" applyFont="1" applyFill="1" applyBorder="1" applyAlignment="1" applyProtection="1">
      <alignment vertical="center" wrapText="1"/>
      <protection hidden="1"/>
    </xf>
    <xf numFmtId="2" fontId="2" fillId="14" borderId="39" xfId="0" applyNumberFormat="1" applyFont="1" applyFill="1" applyBorder="1" applyAlignment="1" applyProtection="1">
      <alignment horizontal="center" vertical="center"/>
      <protection hidden="1"/>
    </xf>
    <xf numFmtId="167" fontId="2" fillId="2" borderId="0" xfId="1" applyNumberFormat="1" applyFont="1" applyFill="1" applyBorder="1" applyProtection="1">
      <protection hidden="1"/>
    </xf>
    <xf numFmtId="9" fontId="2" fillId="2" borderId="0" xfId="0" applyNumberFormat="1" applyFont="1" applyFill="1" applyBorder="1" applyAlignment="1" applyProtection="1">
      <alignment horizontal="center" vertical="center"/>
      <protection hidden="1"/>
    </xf>
    <xf numFmtId="0" fontId="2" fillId="5" borderId="32" xfId="1" applyFont="1" applyFill="1" applyBorder="1" applyAlignment="1" applyProtection="1">
      <alignment horizontal="center" vertical="center"/>
      <protection hidden="1"/>
    </xf>
    <xf numFmtId="0" fontId="2" fillId="5" borderId="18" xfId="1" applyFont="1" applyFill="1" applyBorder="1" applyAlignment="1" applyProtection="1">
      <alignment horizontal="center" vertical="center"/>
      <protection hidden="1"/>
    </xf>
    <xf numFmtId="0" fontId="1" fillId="5" borderId="72" xfId="0" applyFont="1" applyFill="1" applyBorder="1" applyAlignment="1" applyProtection="1">
      <alignment horizontal="center" vertical="center" wrapText="1"/>
      <protection hidden="1"/>
    </xf>
    <xf numFmtId="0" fontId="1" fillId="5" borderId="72" xfId="0" applyFont="1" applyFill="1" applyBorder="1" applyAlignment="1" applyProtection="1">
      <alignment horizontal="center" vertical="center"/>
      <protection hidden="1"/>
    </xf>
    <xf numFmtId="0" fontId="1" fillId="3" borderId="20" xfId="0" applyFont="1" applyFill="1" applyBorder="1" applyAlignment="1" applyProtection="1">
      <alignment horizontal="center" vertical="center"/>
      <protection hidden="1"/>
    </xf>
    <xf numFmtId="166" fontId="2" fillId="2" borderId="5" xfId="0" applyNumberFormat="1" applyFont="1" applyFill="1" applyBorder="1" applyProtection="1">
      <protection hidden="1"/>
    </xf>
    <xf numFmtId="0" fontId="1" fillId="4" borderId="50" xfId="0" applyFont="1" applyFill="1" applyBorder="1" applyAlignment="1" applyProtection="1">
      <alignment horizontal="center" vertical="center" wrapText="1"/>
      <protection hidden="1"/>
    </xf>
    <xf numFmtId="165" fontId="2" fillId="13" borderId="20" xfId="0" applyNumberFormat="1" applyFont="1" applyFill="1" applyBorder="1" applyAlignment="1" applyProtection="1">
      <alignment horizontal="center" vertical="center"/>
      <protection hidden="1"/>
    </xf>
    <xf numFmtId="0" fontId="1" fillId="5" borderId="32" xfId="0" applyFont="1" applyFill="1" applyBorder="1" applyAlignment="1" applyProtection="1">
      <alignment horizontal="center" vertical="center"/>
      <protection hidden="1"/>
    </xf>
    <xf numFmtId="0" fontId="1" fillId="5" borderId="34"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2" fontId="2" fillId="13" borderId="42" xfId="0" applyNumberFormat="1" applyFont="1" applyFill="1" applyBorder="1" applyAlignment="1" applyProtection="1">
      <alignment horizontal="center" vertical="center"/>
      <protection hidden="1"/>
    </xf>
    <xf numFmtId="0" fontId="1" fillId="5" borderId="42" xfId="0" applyFont="1" applyFill="1" applyBorder="1" applyAlignment="1" applyProtection="1">
      <alignment horizontal="center" vertical="center" wrapText="1"/>
      <protection hidden="1"/>
    </xf>
    <xf numFmtId="0" fontId="1" fillId="5" borderId="42" xfId="0" applyFont="1" applyFill="1" applyBorder="1" applyAlignment="1" applyProtection="1">
      <alignment horizontal="center" vertical="center"/>
      <protection hidden="1"/>
    </xf>
    <xf numFmtId="0" fontId="1" fillId="4" borderId="27" xfId="0" applyFont="1" applyFill="1" applyBorder="1" applyAlignment="1" applyProtection="1">
      <alignment horizontal="center" vertical="center" wrapText="1"/>
      <protection hidden="1"/>
    </xf>
    <xf numFmtId="2" fontId="2" fillId="14" borderId="62" xfId="0" applyNumberFormat="1" applyFont="1" applyFill="1" applyBorder="1" applyAlignment="1" applyProtection="1">
      <alignment horizontal="center" vertical="center"/>
      <protection hidden="1"/>
    </xf>
    <xf numFmtId="0" fontId="1" fillId="5" borderId="45" xfId="0" applyFont="1" applyFill="1" applyBorder="1" applyAlignment="1" applyProtection="1">
      <alignment horizontal="center" vertical="center" wrapText="1"/>
      <protection hidden="1"/>
    </xf>
    <xf numFmtId="0" fontId="2" fillId="7" borderId="46" xfId="0" applyFont="1" applyFill="1" applyBorder="1" applyAlignment="1" applyProtection="1">
      <alignment horizontal="center" vertical="center" wrapText="1"/>
      <protection hidden="1"/>
    </xf>
    <xf numFmtId="0" fontId="1" fillId="4" borderId="59" xfId="0" applyFont="1" applyFill="1" applyBorder="1" applyAlignment="1" applyProtection="1">
      <alignment horizontal="center" vertical="center" wrapText="1"/>
      <protection hidden="1"/>
    </xf>
    <xf numFmtId="0" fontId="1" fillId="5" borderId="73" xfId="0" applyFont="1" applyFill="1" applyBorder="1" applyAlignment="1" applyProtection="1">
      <alignment horizontal="center" vertical="center" wrapText="1"/>
      <protection hidden="1"/>
    </xf>
    <xf numFmtId="166" fontId="2" fillId="13" borderId="4" xfId="0" applyNumberFormat="1" applyFont="1" applyFill="1" applyBorder="1" applyAlignment="1" applyProtection="1">
      <alignment horizontal="center" vertical="center"/>
      <protection hidden="1"/>
    </xf>
    <xf numFmtId="0" fontId="2" fillId="2" borderId="2" xfId="0" applyFont="1" applyFill="1" applyBorder="1" applyAlignment="1" applyProtection="1">
      <protection hidden="1"/>
    </xf>
    <xf numFmtId="0" fontId="2" fillId="2" borderId="3" xfId="0" applyFont="1" applyFill="1" applyBorder="1" applyAlignment="1" applyProtection="1">
      <protection hidden="1"/>
    </xf>
    <xf numFmtId="0" fontId="1" fillId="5" borderId="74" xfId="0" applyFont="1" applyFill="1" applyBorder="1" applyAlignment="1" applyProtection="1">
      <alignment horizontal="center" vertical="center"/>
      <protection hidden="1"/>
    </xf>
    <xf numFmtId="2" fontId="2" fillId="14" borderId="8" xfId="0" applyNumberFormat="1" applyFont="1" applyFill="1" applyBorder="1" applyAlignment="1" applyProtection="1">
      <alignment horizontal="center" vertical="center"/>
      <protection hidden="1"/>
    </xf>
    <xf numFmtId="0" fontId="2" fillId="2" borderId="49" xfId="0" applyFont="1" applyFill="1" applyBorder="1" applyAlignment="1" applyProtection="1">
      <protection hidden="1"/>
    </xf>
    <xf numFmtId="0" fontId="2" fillId="2" borderId="5" xfId="0" applyFont="1" applyFill="1" applyBorder="1" applyAlignment="1" applyProtection="1">
      <protection hidden="1"/>
    </xf>
    <xf numFmtId="0" fontId="1" fillId="2" borderId="0" xfId="0" applyFont="1" applyFill="1" applyBorder="1" applyAlignment="1" applyProtection="1">
      <alignment horizontal="center" vertical="center"/>
      <protection hidden="1"/>
    </xf>
    <xf numFmtId="166" fontId="2" fillId="2" borderId="0" xfId="0" applyNumberFormat="1" applyFont="1" applyFill="1" applyBorder="1" applyAlignment="1" applyProtection="1">
      <alignment horizontal="center" vertical="center"/>
      <protection hidden="1"/>
    </xf>
    <xf numFmtId="0" fontId="2" fillId="2" borderId="10" xfId="0" applyFont="1" applyFill="1" applyBorder="1" applyAlignment="1" applyProtection="1">
      <alignment vertical="center" wrapText="1"/>
      <protection hidden="1"/>
    </xf>
    <xf numFmtId="0" fontId="1" fillId="2" borderId="0" xfId="0" applyFont="1" applyFill="1" applyBorder="1" applyAlignment="1" applyProtection="1">
      <alignment vertical="center" wrapText="1"/>
      <protection hidden="1"/>
    </xf>
    <xf numFmtId="0" fontId="1" fillId="2" borderId="51" xfId="0" applyFont="1" applyFill="1" applyBorder="1" applyAlignment="1" applyProtection="1">
      <alignment horizontal="center" vertical="center" wrapText="1"/>
      <protection hidden="1"/>
    </xf>
    <xf numFmtId="0" fontId="2" fillId="5" borderId="10" xfId="0" applyFont="1" applyFill="1" applyBorder="1" applyAlignment="1" applyProtection="1">
      <alignment horizontal="left" vertical="center" wrapText="1"/>
      <protection hidden="1"/>
    </xf>
    <xf numFmtId="0" fontId="2" fillId="5" borderId="0" xfId="0" applyFont="1" applyFill="1" applyBorder="1" applyAlignment="1" applyProtection="1">
      <alignment horizontal="left" vertical="center" wrapText="1"/>
      <protection hidden="1"/>
    </xf>
    <xf numFmtId="0" fontId="2" fillId="5" borderId="0" xfId="0" applyFont="1" applyFill="1" applyBorder="1" applyAlignment="1" applyProtection="1">
      <alignment vertical="center" wrapText="1"/>
      <protection hidden="1"/>
    </xf>
    <xf numFmtId="0" fontId="2" fillId="5" borderId="16" xfId="0" applyFont="1" applyFill="1" applyBorder="1" applyAlignment="1" applyProtection="1">
      <alignment vertical="center" wrapText="1"/>
      <protection hidden="1"/>
    </xf>
    <xf numFmtId="164" fontId="2" fillId="7" borderId="24" xfId="0" applyNumberFormat="1" applyFont="1" applyFill="1" applyBorder="1" applyAlignment="1" applyProtection="1">
      <alignment horizontal="center" vertical="center" wrapText="1"/>
      <protection hidden="1"/>
    </xf>
    <xf numFmtId="169" fontId="2" fillId="5" borderId="51" xfId="0" applyNumberFormat="1" applyFont="1" applyFill="1" applyBorder="1" applyAlignment="1" applyProtection="1">
      <alignment horizontal="center" vertical="center"/>
      <protection hidden="1"/>
    </xf>
    <xf numFmtId="0" fontId="2" fillId="2" borderId="1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164" fontId="2" fillId="2" borderId="0" xfId="0" applyNumberFormat="1" applyFont="1" applyFill="1" applyBorder="1" applyAlignment="1" applyProtection="1">
      <alignment vertical="center" wrapText="1"/>
      <protection hidden="1"/>
    </xf>
    <xf numFmtId="169" fontId="1" fillId="2" borderId="51" xfId="0" applyNumberFormat="1" applyFont="1" applyFill="1" applyBorder="1" applyAlignment="1" applyProtection="1">
      <alignment vertical="center"/>
      <protection hidden="1"/>
    </xf>
    <xf numFmtId="169" fontId="2" fillId="2" borderId="51" xfId="0" applyNumberFormat="1" applyFont="1" applyFill="1" applyBorder="1" applyAlignment="1" applyProtection="1">
      <alignment vertical="center" wrapText="1"/>
      <protection hidden="1"/>
    </xf>
    <xf numFmtId="0" fontId="2" fillId="0" borderId="10" xfId="0" applyFont="1" applyBorder="1" applyAlignment="1" applyProtection="1">
      <alignment vertical="center" wrapText="1"/>
      <protection hidden="1"/>
    </xf>
    <xf numFmtId="1" fontId="2" fillId="2" borderId="0" xfId="0" applyNumberFormat="1" applyFont="1" applyFill="1" applyBorder="1" applyAlignment="1" applyProtection="1">
      <alignment vertical="center" wrapText="1"/>
      <protection hidden="1"/>
    </xf>
    <xf numFmtId="0" fontId="2" fillId="2" borderId="0" xfId="0" applyNumberFormat="1" applyFont="1" applyFill="1" applyBorder="1" applyAlignment="1" applyProtection="1">
      <alignment horizontal="center" vertical="center" wrapText="1"/>
      <protection hidden="1"/>
    </xf>
    <xf numFmtId="0" fontId="2" fillId="2" borderId="51" xfId="0" applyFont="1" applyFill="1" applyBorder="1" applyAlignment="1" applyProtection="1">
      <alignment vertical="center" wrapText="1"/>
      <protection hidden="1"/>
    </xf>
    <xf numFmtId="0" fontId="2" fillId="5" borderId="49" xfId="0" applyFont="1" applyFill="1" applyBorder="1" applyAlignment="1" applyProtection="1">
      <alignment horizontal="left" vertical="center" wrapText="1"/>
      <protection hidden="1"/>
    </xf>
    <xf numFmtId="0" fontId="2" fillId="5" borderId="5" xfId="0" applyFont="1" applyFill="1" applyBorder="1" applyAlignment="1" applyProtection="1">
      <alignment horizontal="left" vertical="center" wrapText="1"/>
      <protection hidden="1"/>
    </xf>
    <xf numFmtId="0" fontId="2" fillId="5" borderId="5" xfId="0" applyFont="1" applyFill="1" applyBorder="1" applyAlignment="1" applyProtection="1">
      <alignment vertical="center" wrapText="1"/>
      <protection hidden="1"/>
    </xf>
    <xf numFmtId="0" fontId="2" fillId="5" borderId="67" xfId="0" applyFont="1" applyFill="1" applyBorder="1" applyAlignment="1" applyProtection="1">
      <alignment vertical="center" wrapText="1"/>
      <protection hidden="1"/>
    </xf>
    <xf numFmtId="164" fontId="2" fillId="7" borderId="48" xfId="0" applyNumberFormat="1" applyFont="1" applyFill="1" applyBorder="1" applyAlignment="1" applyProtection="1">
      <alignment horizontal="center" vertical="center" wrapText="1"/>
      <protection hidden="1"/>
    </xf>
    <xf numFmtId="169" fontId="2" fillId="5" borderId="40" xfId="0" applyNumberFormat="1" applyFont="1" applyFill="1" applyBorder="1" applyAlignment="1" applyProtection="1">
      <alignment horizontal="center" vertical="center"/>
      <protection hidden="1"/>
    </xf>
    <xf numFmtId="0" fontId="1" fillId="5" borderId="22" xfId="0" applyFont="1" applyFill="1" applyBorder="1" applyAlignment="1" applyProtection="1">
      <alignment horizontal="center" vertical="center" wrapText="1"/>
      <protection hidden="1"/>
    </xf>
    <xf numFmtId="0" fontId="1" fillId="5" borderId="20"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166" fontId="2" fillId="5" borderId="3" xfId="0" applyNumberFormat="1" applyFont="1" applyFill="1" applyBorder="1" applyAlignment="1" applyProtection="1">
      <alignment horizontal="center" vertical="center" wrapText="1"/>
      <protection hidden="1"/>
    </xf>
    <xf numFmtId="0" fontId="2" fillId="0" borderId="42" xfId="0" applyFont="1" applyBorder="1" applyAlignment="1" applyProtection="1">
      <alignment vertical="center" wrapText="1"/>
      <protection hidden="1"/>
    </xf>
    <xf numFmtId="14" fontId="2" fillId="5" borderId="9" xfId="0" applyNumberFormat="1" applyFont="1" applyFill="1" applyBorder="1" applyAlignment="1" applyProtection="1">
      <alignment horizontal="center" vertical="center" wrapText="1"/>
      <protection hidden="1"/>
    </xf>
    <xf numFmtId="0" fontId="2" fillId="0" borderId="42" xfId="0" applyFont="1" applyFill="1" applyBorder="1" applyAlignment="1" applyProtection="1">
      <alignment vertical="center" wrapText="1"/>
      <protection hidden="1"/>
    </xf>
    <xf numFmtId="0" fontId="2" fillId="0" borderId="42" xfId="0" applyFont="1" applyFill="1" applyBorder="1" applyAlignment="1" applyProtection="1">
      <alignment horizontal="center" vertical="center" wrapText="1"/>
      <protection hidden="1"/>
    </xf>
    <xf numFmtId="0" fontId="2" fillId="2" borderId="42" xfId="0" applyFont="1" applyFill="1" applyBorder="1" applyAlignment="1" applyProtection="1">
      <alignment vertical="center" wrapText="1"/>
      <protection hidden="1"/>
    </xf>
    <xf numFmtId="0" fontId="2" fillId="2" borderId="43" xfId="0" applyFont="1" applyFill="1" applyBorder="1" applyAlignment="1" applyProtection="1">
      <alignment vertical="center" wrapText="1"/>
      <protection hidden="1"/>
    </xf>
    <xf numFmtId="0" fontId="2" fillId="5" borderId="9" xfId="0" applyFont="1" applyFill="1" applyBorder="1" applyAlignment="1" applyProtection="1">
      <alignment horizontal="center" vertical="center" wrapText="1"/>
      <protection hidden="1"/>
    </xf>
    <xf numFmtId="167" fontId="2" fillId="5" borderId="9" xfId="0" applyNumberFormat="1" applyFont="1" applyFill="1" applyBorder="1" applyAlignment="1" applyProtection="1">
      <alignment horizontal="center" vertical="center" wrapText="1"/>
      <protection hidden="1"/>
    </xf>
    <xf numFmtId="1" fontId="2" fillId="5" borderId="9" xfId="0" applyNumberFormat="1" applyFont="1" applyFill="1" applyBorder="1" applyAlignment="1" applyProtection="1">
      <alignment horizontal="center" vertical="center" wrapText="1"/>
      <protection hidden="1"/>
    </xf>
    <xf numFmtId="166" fontId="2" fillId="5" borderId="9" xfId="0" applyNumberFormat="1" applyFont="1" applyFill="1" applyBorder="1" applyAlignment="1" applyProtection="1">
      <alignment horizontal="center" vertical="center" wrapText="1"/>
      <protection hidden="1"/>
    </xf>
    <xf numFmtId="165" fontId="2" fillId="5" borderId="9" xfId="0" applyNumberFormat="1" applyFont="1" applyFill="1" applyBorder="1" applyAlignment="1" applyProtection="1">
      <alignment horizontal="center" vertical="center" wrapText="1"/>
      <protection hidden="1"/>
    </xf>
    <xf numFmtId="0" fontId="2" fillId="5" borderId="36" xfId="0" applyFont="1" applyFill="1" applyBorder="1" applyAlignment="1" applyProtection="1">
      <alignment horizontal="center" vertical="center" wrapText="1"/>
      <protection hidden="1"/>
    </xf>
    <xf numFmtId="2" fontId="2" fillId="5" borderId="9" xfId="0" applyNumberFormat="1" applyFont="1" applyFill="1" applyBorder="1" applyAlignment="1" applyProtection="1">
      <alignment horizontal="center" vertical="center" wrapText="1"/>
      <protection hidden="1"/>
    </xf>
    <xf numFmtId="169" fontId="2" fillId="5" borderId="9" xfId="0" applyNumberFormat="1" applyFont="1" applyFill="1" applyBorder="1" applyAlignment="1" applyProtection="1">
      <alignment horizontal="center" vertical="center" wrapText="1"/>
      <protection hidden="1"/>
    </xf>
    <xf numFmtId="0" fontId="1" fillId="5" borderId="9" xfId="0" applyFont="1" applyFill="1" applyBorder="1" applyAlignment="1" applyProtection="1">
      <alignment vertical="top" wrapText="1"/>
      <protection hidden="1"/>
    </xf>
    <xf numFmtId="0" fontId="1" fillId="2" borderId="10" xfId="0" applyFont="1" applyFill="1" applyBorder="1" applyAlignment="1" applyProtection="1">
      <alignment horizontal="left" vertical="top" wrapText="1"/>
      <protection hidden="1"/>
    </xf>
    <xf numFmtId="0" fontId="1" fillId="2" borderId="0" xfId="0" applyFont="1" applyFill="1" applyBorder="1" applyAlignment="1" applyProtection="1">
      <alignment horizontal="left" vertical="top" wrapText="1"/>
      <protection hidden="1"/>
    </xf>
    <xf numFmtId="14" fontId="2" fillId="2" borderId="0" xfId="0" applyNumberFormat="1" applyFont="1" applyFill="1" applyBorder="1" applyAlignment="1" applyProtection="1">
      <alignment horizontal="center" vertical="center" wrapText="1"/>
      <protection hidden="1"/>
    </xf>
    <xf numFmtId="171" fontId="2" fillId="2" borderId="0" xfId="0" applyNumberFormat="1"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164" fontId="2" fillId="5" borderId="9" xfId="0" applyNumberFormat="1" applyFont="1" applyFill="1" applyBorder="1" applyAlignment="1" applyProtection="1">
      <alignment horizontal="center" vertical="center" wrapText="1"/>
      <protection hidden="1"/>
    </xf>
    <xf numFmtId="0" fontId="1" fillId="5" borderId="59" xfId="0" applyFont="1" applyFill="1" applyBorder="1" applyAlignment="1" applyProtection="1">
      <alignment vertical="top" wrapText="1"/>
      <protection hidden="1"/>
    </xf>
    <xf numFmtId="0" fontId="2" fillId="5" borderId="46" xfId="0" applyFont="1" applyFill="1" applyBorder="1" applyAlignment="1" applyProtection="1">
      <alignment horizontal="center" vertical="center" wrapText="1"/>
      <protection hidden="1"/>
    </xf>
    <xf numFmtId="14" fontId="2" fillId="5" borderId="46" xfId="0" applyNumberFormat="1" applyFont="1" applyFill="1" applyBorder="1" applyAlignment="1" applyProtection="1">
      <alignment horizontal="center" vertical="center" wrapText="1"/>
      <protection hidden="1"/>
    </xf>
    <xf numFmtId="165" fontId="2" fillId="5" borderId="46" xfId="0" applyNumberFormat="1" applyFont="1" applyFill="1" applyBorder="1" applyAlignment="1" applyProtection="1">
      <alignment horizontal="center" vertical="center" wrapText="1"/>
      <protection hidden="1"/>
    </xf>
    <xf numFmtId="1" fontId="2" fillId="5" borderId="46" xfId="0" applyNumberFormat="1" applyFont="1" applyFill="1" applyBorder="1" applyAlignment="1" applyProtection="1">
      <alignment horizontal="center" vertical="center" wrapText="1"/>
      <protection hidden="1"/>
    </xf>
    <xf numFmtId="169" fontId="2" fillId="5" borderId="46" xfId="0" applyNumberFormat="1" applyFont="1" applyFill="1" applyBorder="1" applyAlignment="1" applyProtection="1">
      <alignment horizontal="center" vertical="center" wrapText="1"/>
      <protection hidden="1"/>
    </xf>
    <xf numFmtId="0" fontId="2" fillId="5" borderId="39" xfId="0" applyFont="1" applyFill="1" applyBorder="1" applyAlignment="1" applyProtection="1">
      <alignment horizontal="center" vertical="center" wrapText="1"/>
      <protection hidden="1"/>
    </xf>
    <xf numFmtId="166" fontId="2" fillId="2" borderId="0" xfId="1" applyNumberFormat="1" applyFont="1" applyFill="1" applyBorder="1" applyAlignment="1" applyProtection="1">
      <alignment horizontal="center" vertical="center"/>
      <protection hidden="1"/>
    </xf>
    <xf numFmtId="0" fontId="2" fillId="2" borderId="52" xfId="0" applyFont="1" applyFill="1" applyBorder="1" applyAlignment="1" applyProtection="1">
      <alignment vertical="center" wrapText="1"/>
      <protection hidden="1"/>
    </xf>
    <xf numFmtId="0" fontId="2" fillId="5" borderId="54" xfId="0" applyFont="1" applyFill="1" applyBorder="1" applyAlignment="1" applyProtection="1">
      <alignment horizontal="center" vertical="center" wrapText="1"/>
      <protection hidden="1"/>
    </xf>
    <xf numFmtId="14" fontId="2" fillId="5" borderId="18" xfId="0" applyNumberFormat="1" applyFont="1" applyFill="1" applyBorder="1" applyAlignment="1" applyProtection="1">
      <alignment horizontal="center" vertical="center" wrapText="1"/>
      <protection hidden="1"/>
    </xf>
    <xf numFmtId="165" fontId="2" fillId="2" borderId="0" xfId="1" applyNumberFormat="1" applyFont="1" applyFill="1" applyBorder="1" applyAlignment="1" applyProtection="1">
      <alignment horizontal="center" vertical="center"/>
      <protection hidden="1"/>
    </xf>
    <xf numFmtId="0" fontId="1" fillId="2" borderId="1" xfId="0" applyFont="1" applyFill="1" applyBorder="1" applyAlignment="1" applyProtection="1">
      <alignment vertical="center" wrapText="1"/>
      <protection hidden="1"/>
    </xf>
    <xf numFmtId="2" fontId="1" fillId="7" borderId="71" xfId="0" applyNumberFormat="1" applyFont="1" applyFill="1" applyBorder="1" applyAlignment="1" applyProtection="1">
      <alignment horizontal="center" vertical="center" wrapText="1"/>
      <protection hidden="1"/>
    </xf>
    <xf numFmtId="14" fontId="2" fillId="5" borderId="12" xfId="0" applyNumberFormat="1" applyFont="1" applyFill="1" applyBorder="1" applyAlignment="1" applyProtection="1">
      <alignment horizontal="center" vertical="center" wrapText="1"/>
      <protection hidden="1"/>
    </xf>
    <xf numFmtId="0" fontId="2" fillId="7" borderId="37" xfId="0" applyFont="1" applyFill="1" applyBorder="1" applyAlignment="1" applyProtection="1">
      <alignment horizontal="center" vertical="center" wrapText="1"/>
      <protection hidden="1"/>
    </xf>
    <xf numFmtId="166" fontId="2" fillId="2" borderId="2" xfId="0" applyNumberFormat="1" applyFont="1" applyFill="1" applyBorder="1" applyAlignment="1" applyProtection="1">
      <alignment horizontal="center" vertical="center"/>
      <protection hidden="1"/>
    </xf>
    <xf numFmtId="166" fontId="2" fillId="2" borderId="4" xfId="0" applyNumberFormat="1" applyFont="1" applyFill="1" applyBorder="1" applyAlignment="1" applyProtection="1">
      <alignment horizontal="center" vertical="center"/>
      <protection hidden="1"/>
    </xf>
    <xf numFmtId="2" fontId="2" fillId="2" borderId="0" xfId="0" applyNumberFormat="1" applyFont="1" applyFill="1" applyBorder="1" applyProtection="1">
      <protection hidden="1"/>
    </xf>
    <xf numFmtId="0" fontId="2" fillId="2" borderId="11"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7" borderId="58" xfId="0" applyFont="1" applyFill="1" applyBorder="1" applyAlignment="1" applyProtection="1">
      <alignment vertical="center" wrapText="1"/>
      <protection hidden="1"/>
    </xf>
    <xf numFmtId="2" fontId="2" fillId="2" borderId="45" xfId="0" applyNumberFormat="1" applyFont="1" applyFill="1" applyBorder="1" applyAlignment="1" applyProtection="1">
      <alignment horizontal="center" vertical="center"/>
      <protection hidden="1"/>
    </xf>
    <xf numFmtId="2" fontId="2" fillId="2" borderId="39" xfId="0" applyNumberFormat="1" applyFont="1" applyFill="1" applyBorder="1" applyAlignment="1" applyProtection="1">
      <alignment horizontal="center" vertical="center"/>
      <protection hidden="1"/>
    </xf>
    <xf numFmtId="0" fontId="2" fillId="5" borderId="31" xfId="0" applyFont="1" applyFill="1" applyBorder="1" applyAlignment="1" applyProtection="1">
      <alignment horizontal="center" vertical="center" wrapText="1"/>
      <protection hidden="1"/>
    </xf>
    <xf numFmtId="0" fontId="2" fillId="5" borderId="4" xfId="0" applyFont="1" applyFill="1" applyBorder="1" applyAlignment="1" applyProtection="1">
      <alignment horizontal="center" vertical="center" wrapText="1"/>
      <protection hidden="1"/>
    </xf>
    <xf numFmtId="165" fontId="2" fillId="7" borderId="9" xfId="0" applyNumberFormat="1" applyFont="1" applyFill="1" applyBorder="1" applyAlignment="1" applyProtection="1">
      <alignment horizontal="center" vertical="center" wrapText="1"/>
      <protection hidden="1"/>
    </xf>
    <xf numFmtId="0" fontId="2" fillId="12" borderId="14" xfId="0" applyFont="1" applyFill="1" applyBorder="1" applyAlignment="1" applyProtection="1">
      <alignment horizontal="center" vertical="center"/>
      <protection locked="0" hidden="1"/>
    </xf>
    <xf numFmtId="0" fontId="2" fillId="12" borderId="59" xfId="0" applyFont="1" applyFill="1" applyBorder="1" applyAlignment="1" applyProtection="1">
      <alignment horizontal="center" vertical="center"/>
      <protection locked="0" hidden="1"/>
    </xf>
    <xf numFmtId="0" fontId="2" fillId="12" borderId="9" xfId="1" applyFont="1" applyFill="1" applyBorder="1" applyAlignment="1" applyProtection="1">
      <alignment horizontal="center" vertical="center"/>
      <protection locked="0" hidden="1"/>
    </xf>
    <xf numFmtId="0" fontId="2" fillId="12" borderId="46" xfId="1" applyFont="1" applyFill="1" applyBorder="1" applyAlignment="1" applyProtection="1">
      <alignment horizontal="center" vertical="center"/>
      <protection locked="0" hidden="1"/>
    </xf>
    <xf numFmtId="2" fontId="9" fillId="25" borderId="1" xfId="6" applyNumberFormat="1" applyBorder="1" applyAlignment="1" applyProtection="1">
      <alignment horizontal="center" vertical="center"/>
      <protection locked="0" hidden="1"/>
    </xf>
    <xf numFmtId="2" fontId="20" fillId="17" borderId="1" xfId="1" applyNumberFormat="1" applyFont="1" applyFill="1" applyBorder="1" applyAlignment="1" applyProtection="1">
      <alignment horizontal="center" vertical="center" wrapText="1"/>
      <protection hidden="1"/>
    </xf>
    <xf numFmtId="165" fontId="24" fillId="16" borderId="46" xfId="0" applyNumberFormat="1" applyFont="1" applyFill="1" applyBorder="1" applyAlignment="1" applyProtection="1">
      <alignment horizontal="center" vertical="center" wrapText="1"/>
      <protection hidden="1"/>
    </xf>
    <xf numFmtId="166" fontId="3" fillId="6" borderId="46" xfId="0" applyNumberFormat="1" applyFont="1" applyFill="1" applyBorder="1" applyAlignment="1" applyProtection="1">
      <alignment horizontal="center" vertical="center"/>
      <protection locked="0" hidden="1"/>
    </xf>
    <xf numFmtId="170" fontId="24" fillId="6" borderId="22" xfId="0" applyNumberFormat="1" applyFont="1" applyFill="1" applyBorder="1" applyAlignment="1" applyProtection="1">
      <alignment horizontal="centerContinuous" vertical="center" wrapText="1"/>
      <protection hidden="1"/>
    </xf>
    <xf numFmtId="0" fontId="63" fillId="26" borderId="1" xfId="0" applyFont="1" applyFill="1" applyBorder="1" applyAlignment="1" applyProtection="1">
      <alignment horizontal="center" vertical="center"/>
      <protection hidden="1"/>
    </xf>
    <xf numFmtId="0" fontId="9" fillId="25" borderId="75" xfId="6" applyBorder="1" applyAlignment="1" applyProtection="1">
      <alignment horizontal="center" vertical="center" wrapText="1"/>
      <protection locked="0" hidden="1"/>
    </xf>
    <xf numFmtId="0" fontId="9" fillId="25" borderId="75" xfId="6" applyBorder="1" applyAlignment="1" applyProtection="1">
      <alignment horizontal="center" vertical="center"/>
      <protection locked="0" hidden="1"/>
    </xf>
    <xf numFmtId="0" fontId="24" fillId="13" borderId="9" xfId="0" applyFont="1" applyFill="1" applyBorder="1" applyAlignment="1" applyProtection="1">
      <alignment horizontal="center" vertical="center" wrapText="1"/>
      <protection hidden="1"/>
    </xf>
    <xf numFmtId="2" fontId="20" fillId="22" borderId="20" xfId="1" applyNumberFormat="1" applyFont="1" applyFill="1" applyBorder="1" applyAlignment="1" applyProtection="1">
      <alignment horizontal="center" vertical="center" wrapText="1"/>
      <protection hidden="1"/>
    </xf>
    <xf numFmtId="0" fontId="6" fillId="5" borderId="43" xfId="0" applyFont="1" applyFill="1" applyBorder="1" applyAlignment="1" applyProtection="1">
      <alignment horizontal="center" vertical="center" wrapText="1"/>
      <protection hidden="1"/>
    </xf>
    <xf numFmtId="14" fontId="24" fillId="6" borderId="11" xfId="0" applyNumberFormat="1" applyFont="1" applyFill="1" applyBorder="1" applyAlignment="1" applyProtection="1">
      <alignment horizontal="centerContinuous" vertical="center" wrapText="1"/>
      <protection hidden="1"/>
    </xf>
    <xf numFmtId="14" fontId="24" fillId="6" borderId="23" xfId="0" applyNumberFormat="1" applyFont="1" applyFill="1" applyBorder="1" applyAlignment="1" applyProtection="1">
      <alignment horizontal="centerContinuous" vertical="center" wrapText="1"/>
      <protection hidden="1"/>
    </xf>
    <xf numFmtId="2" fontId="5" fillId="7" borderId="17" xfId="0" applyNumberFormat="1" applyFont="1" applyFill="1" applyBorder="1" applyAlignment="1" applyProtection="1">
      <alignment horizontal="center" vertical="center" wrapText="1"/>
      <protection hidden="1"/>
    </xf>
    <xf numFmtId="0" fontId="24" fillId="2" borderId="76" xfId="0" applyFont="1" applyFill="1" applyBorder="1" applyAlignment="1" applyProtection="1">
      <alignment vertical="center" wrapText="1"/>
      <protection hidden="1"/>
    </xf>
    <xf numFmtId="0" fontId="52" fillId="5" borderId="71" xfId="0" applyFont="1" applyFill="1" applyBorder="1" applyAlignment="1" applyProtection="1">
      <alignment vertical="center" wrapText="1"/>
      <protection hidden="1"/>
    </xf>
    <xf numFmtId="0" fontId="70" fillId="5" borderId="74" xfId="0" applyFont="1" applyFill="1" applyBorder="1" applyAlignment="1" applyProtection="1">
      <alignment vertical="center" wrapText="1"/>
      <protection hidden="1"/>
    </xf>
    <xf numFmtId="165" fontId="24" fillId="7" borderId="15" xfId="0" applyNumberFormat="1" applyFont="1" applyFill="1" applyBorder="1" applyAlignment="1" applyProtection="1">
      <alignment horizontal="centerContinuous" vertical="center" wrapText="1"/>
      <protection hidden="1"/>
    </xf>
    <xf numFmtId="165" fontId="5" fillId="7" borderId="12" xfId="0" applyNumberFormat="1" applyFont="1" applyFill="1" applyBorder="1" applyAlignment="1" applyProtection="1">
      <alignment horizontal="center" vertical="center" wrapText="1"/>
      <protection hidden="1"/>
    </xf>
    <xf numFmtId="169" fontId="5" fillId="7" borderId="51" xfId="0" applyNumberFormat="1" applyFont="1" applyFill="1" applyBorder="1" applyAlignment="1" applyProtection="1">
      <alignment horizontal="center" vertical="center" wrapText="1"/>
      <protection hidden="1"/>
    </xf>
    <xf numFmtId="2" fontId="5" fillId="7" borderId="26" xfId="0" applyNumberFormat="1" applyFont="1" applyFill="1" applyBorder="1" applyAlignment="1" applyProtection="1">
      <alignment horizontal="center" vertical="center" wrapText="1"/>
      <protection hidden="1"/>
    </xf>
    <xf numFmtId="165" fontId="5" fillId="7" borderId="27" xfId="0" applyNumberFormat="1" applyFont="1" applyFill="1" applyBorder="1" applyAlignment="1" applyProtection="1">
      <alignment horizontal="center" vertical="center" wrapText="1"/>
      <protection hidden="1"/>
    </xf>
    <xf numFmtId="167" fontId="5" fillId="7" borderId="13" xfId="0" applyNumberFormat="1" applyFont="1" applyFill="1" applyBorder="1" applyAlignment="1" applyProtection="1">
      <alignment horizontal="center" vertical="center" wrapText="1"/>
      <protection hidden="1"/>
    </xf>
    <xf numFmtId="165" fontId="5" fillId="7" borderId="26" xfId="0" applyNumberFormat="1" applyFont="1" applyFill="1" applyBorder="1" applyAlignment="1" applyProtection="1">
      <alignment horizontal="center" vertical="center" wrapText="1"/>
      <protection hidden="1"/>
    </xf>
    <xf numFmtId="0" fontId="51" fillId="5" borderId="19" xfId="0" applyFont="1" applyFill="1" applyBorder="1" applyAlignment="1" applyProtection="1">
      <alignment horizontal="center" vertical="center" wrapText="1"/>
      <protection hidden="1"/>
    </xf>
    <xf numFmtId="0" fontId="51" fillId="5" borderId="21" xfId="0" applyFont="1" applyFill="1" applyBorder="1" applyAlignment="1" applyProtection="1">
      <alignment horizontal="center" vertical="center" wrapText="1"/>
      <protection hidden="1"/>
    </xf>
    <xf numFmtId="0" fontId="11" fillId="5" borderId="8" xfId="0" applyFont="1" applyFill="1" applyBorder="1" applyAlignment="1" applyProtection="1">
      <alignment horizontal="center" vertical="center" wrapText="1"/>
      <protection hidden="1"/>
    </xf>
    <xf numFmtId="0" fontId="2" fillId="5" borderId="41" xfId="0" applyFont="1" applyFill="1" applyBorder="1" applyAlignment="1" applyProtection="1">
      <alignment horizontal="center" vertical="center" wrapText="1"/>
      <protection hidden="1"/>
    </xf>
    <xf numFmtId="0" fontId="2" fillId="5" borderId="42" xfId="0" applyFont="1" applyFill="1" applyBorder="1" applyAlignment="1" applyProtection="1">
      <alignment horizontal="center" vertical="center" wrapText="1"/>
      <protection hidden="1"/>
    </xf>
    <xf numFmtId="0" fontId="2" fillId="5" borderId="34" xfId="0" applyFont="1" applyFill="1" applyBorder="1" applyAlignment="1" applyProtection="1">
      <alignment horizontal="center" vertical="center" wrapText="1"/>
      <protection hidden="1"/>
    </xf>
    <xf numFmtId="0" fontId="2" fillId="5" borderId="45" xfId="0" applyFont="1" applyFill="1" applyBorder="1" applyAlignment="1" applyProtection="1">
      <alignment horizontal="center" vertical="center"/>
      <protection hidden="1"/>
    </xf>
    <xf numFmtId="0" fontId="51" fillId="5" borderId="22" xfId="0" applyFont="1" applyFill="1" applyBorder="1" applyAlignment="1" applyProtection="1">
      <alignment horizontal="center" vertical="center" wrapText="1"/>
      <protection hidden="1"/>
    </xf>
    <xf numFmtId="0" fontId="11" fillId="5" borderId="20" xfId="0" applyFont="1" applyFill="1" applyBorder="1" applyAlignment="1" applyProtection="1">
      <alignment horizontal="center" vertical="center" wrapText="1"/>
      <protection hidden="1"/>
    </xf>
    <xf numFmtId="2" fontId="5" fillId="7" borderId="14" xfId="0" applyNumberFormat="1" applyFont="1" applyFill="1" applyBorder="1" applyAlignment="1" applyProtection="1">
      <alignment horizontal="center" vertical="center" wrapText="1"/>
      <protection hidden="1"/>
    </xf>
    <xf numFmtId="0" fontId="52" fillId="5" borderId="73" xfId="0" applyFont="1" applyFill="1" applyBorder="1" applyAlignment="1" applyProtection="1">
      <alignment vertical="center" wrapText="1"/>
      <protection hidden="1"/>
    </xf>
    <xf numFmtId="0" fontId="52" fillId="5" borderId="74" xfId="0" applyFont="1" applyFill="1" applyBorder="1" applyAlignment="1" applyProtection="1">
      <alignment vertical="center" wrapText="1"/>
      <protection hidden="1"/>
    </xf>
    <xf numFmtId="2" fontId="20" fillId="22" borderId="19" xfId="1" applyNumberFormat="1" applyFont="1" applyFill="1" applyBorder="1" applyAlignment="1" applyProtection="1">
      <alignment horizontal="center" vertical="center" wrapText="1"/>
      <protection hidden="1"/>
    </xf>
    <xf numFmtId="2" fontId="20" fillId="22" borderId="6" xfId="1" applyNumberFormat="1" applyFont="1" applyFill="1" applyBorder="1" applyAlignment="1" applyProtection="1">
      <alignment horizontal="center" vertical="center" wrapText="1"/>
      <protection hidden="1"/>
    </xf>
    <xf numFmtId="2" fontId="20" fillId="22" borderId="22" xfId="1" applyNumberFormat="1" applyFont="1" applyFill="1" applyBorder="1" applyAlignment="1" applyProtection="1">
      <alignment horizontal="center" vertical="center" wrapText="1"/>
      <protection hidden="1"/>
    </xf>
    <xf numFmtId="165" fontId="5" fillId="7" borderId="59" xfId="8" applyNumberFormat="1" applyFont="1" applyFill="1" applyBorder="1" applyAlignment="1" applyProtection="1">
      <alignment horizontal="center" vertical="center" wrapText="1"/>
      <protection hidden="1"/>
    </xf>
    <xf numFmtId="165" fontId="5" fillId="7" borderId="67" xfId="8" applyNumberFormat="1" applyFont="1" applyFill="1" applyBorder="1" applyAlignment="1" applyProtection="1">
      <alignment horizontal="center" vertical="center" wrapText="1"/>
      <protection hidden="1"/>
    </xf>
    <xf numFmtId="166" fontId="2" fillId="7" borderId="46" xfId="0" applyNumberFormat="1" applyFont="1" applyFill="1" applyBorder="1" applyAlignment="1" applyProtection="1">
      <alignment horizontal="center" vertical="center"/>
      <protection hidden="1"/>
    </xf>
    <xf numFmtId="166" fontId="2" fillId="7" borderId="9" xfId="0" applyNumberFormat="1" applyFont="1" applyFill="1" applyBorder="1" applyAlignment="1" applyProtection="1">
      <alignment horizontal="center" vertical="center" wrapText="1"/>
      <protection hidden="1"/>
    </xf>
    <xf numFmtId="0" fontId="2" fillId="5" borderId="28" xfId="1" applyFont="1" applyFill="1" applyBorder="1" applyAlignment="1" applyProtection="1">
      <alignment horizontal="center" wrapText="1"/>
      <protection hidden="1"/>
    </xf>
    <xf numFmtId="166" fontId="2" fillId="13" borderId="11" xfId="0" applyNumberFormat="1" applyFont="1" applyFill="1" applyBorder="1" applyAlignment="1" applyProtection="1">
      <alignment horizontal="center" vertical="center"/>
      <protection hidden="1"/>
    </xf>
    <xf numFmtId="166" fontId="2" fillId="13" borderId="57" xfId="0" applyNumberFormat="1"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wrapText="1"/>
      <protection hidden="1"/>
    </xf>
    <xf numFmtId="0" fontId="2" fillId="3" borderId="50" xfId="0" applyFont="1" applyFill="1" applyBorder="1" applyAlignment="1" applyProtection="1">
      <alignment horizontal="center" vertical="center"/>
      <protection hidden="1"/>
    </xf>
    <xf numFmtId="0" fontId="1" fillId="5" borderId="41" xfId="0" applyFont="1" applyFill="1" applyBorder="1" applyAlignment="1" applyProtection="1">
      <alignment horizontal="center" vertical="center" wrapText="1"/>
      <protection hidden="1"/>
    </xf>
    <xf numFmtId="0" fontId="71" fillId="7" borderId="36" xfId="0" applyFont="1" applyFill="1" applyBorder="1" applyAlignment="1" applyProtection="1">
      <alignment horizontal="center" vertical="center" wrapText="1"/>
      <protection hidden="1"/>
    </xf>
    <xf numFmtId="0" fontId="2" fillId="7" borderId="39" xfId="0" applyFont="1" applyFill="1" applyBorder="1" applyAlignment="1" applyProtection="1">
      <alignment horizontal="center" vertical="center"/>
      <protection hidden="1"/>
    </xf>
    <xf numFmtId="164" fontId="2" fillId="7" borderId="36" xfId="0" applyNumberFormat="1" applyFont="1" applyFill="1" applyBorder="1" applyAlignment="1" applyProtection="1">
      <alignment horizontal="center" vertical="center"/>
      <protection hidden="1"/>
    </xf>
    <xf numFmtId="0" fontId="20" fillId="0" borderId="42" xfId="0" applyFont="1" applyBorder="1" applyProtection="1">
      <protection hidden="1"/>
    </xf>
    <xf numFmtId="0" fontId="22" fillId="0" borderId="42" xfId="0" applyFont="1" applyBorder="1" applyAlignment="1" applyProtection="1">
      <alignment horizontal="center" vertical="center"/>
      <protection hidden="1"/>
    </xf>
    <xf numFmtId="170" fontId="22" fillId="0" borderId="42" xfId="0" applyNumberFormat="1" applyFont="1" applyBorder="1" applyAlignment="1" applyProtection="1">
      <alignment horizontal="center" vertical="center"/>
      <protection hidden="1"/>
    </xf>
    <xf numFmtId="0" fontId="22" fillId="0" borderId="43" xfId="0" applyFont="1" applyBorder="1" applyProtection="1">
      <protection hidden="1"/>
    </xf>
    <xf numFmtId="2" fontId="4" fillId="8" borderId="1" xfId="0" applyNumberFormat="1" applyFont="1" applyFill="1" applyBorder="1" applyAlignment="1" applyProtection="1">
      <alignment horizontal="center" vertical="center" wrapText="1"/>
      <protection hidden="1"/>
    </xf>
    <xf numFmtId="166" fontId="24" fillId="13" borderId="36" xfId="0" applyNumberFormat="1" applyFont="1" applyFill="1" applyBorder="1" applyAlignment="1" applyProtection="1">
      <alignment horizontal="center" vertical="center" wrapText="1"/>
      <protection hidden="1"/>
    </xf>
    <xf numFmtId="165" fontId="5" fillId="7" borderId="17" xfId="0" applyNumberFormat="1" applyFont="1" applyFill="1" applyBorder="1" applyAlignment="1" applyProtection="1">
      <alignment horizontal="center" vertical="center" wrapText="1"/>
      <protection hidden="1"/>
    </xf>
    <xf numFmtId="0" fontId="41" fillId="5" borderId="11" xfId="0" applyFont="1" applyFill="1" applyBorder="1" applyAlignment="1" applyProtection="1">
      <alignment horizontal="center" vertical="center" wrapText="1"/>
      <protection hidden="1"/>
    </xf>
    <xf numFmtId="0" fontId="24" fillId="2" borderId="12" xfId="0" applyFont="1" applyFill="1" applyBorder="1" applyAlignment="1" applyProtection="1">
      <alignment vertical="center" wrapText="1"/>
      <protection hidden="1"/>
    </xf>
    <xf numFmtId="1" fontId="24" fillId="7" borderId="14" xfId="0" applyNumberFormat="1" applyFont="1" applyFill="1" applyBorder="1" applyAlignment="1" applyProtection="1">
      <alignment horizontal="center" vertical="center" wrapText="1"/>
      <protection hidden="1"/>
    </xf>
    <xf numFmtId="164" fontId="5" fillId="7" borderId="15" xfId="0" applyNumberFormat="1" applyFont="1" applyFill="1" applyBorder="1" applyAlignment="1" applyProtection="1">
      <alignment vertical="center" wrapText="1"/>
      <protection hidden="1"/>
    </xf>
    <xf numFmtId="164" fontId="5" fillId="7" borderId="55" xfId="0" applyNumberFormat="1" applyFont="1" applyFill="1" applyBorder="1" applyAlignment="1" applyProtection="1">
      <alignment vertical="center" wrapText="1"/>
      <protection hidden="1"/>
    </xf>
    <xf numFmtId="2" fontId="4" fillId="7" borderId="79" xfId="0" applyNumberFormat="1" applyFont="1" applyFill="1" applyBorder="1" applyAlignment="1" applyProtection="1">
      <alignment horizontal="center" vertical="center" wrapText="1"/>
      <protection hidden="1"/>
    </xf>
    <xf numFmtId="167" fontId="1" fillId="7" borderId="74" xfId="0" applyNumberFormat="1" applyFont="1" applyFill="1" applyBorder="1" applyAlignment="1" applyProtection="1">
      <alignment horizontal="center" vertical="center" wrapText="1"/>
      <protection hidden="1"/>
    </xf>
    <xf numFmtId="167" fontId="1" fillId="7" borderId="79" xfId="0" applyNumberFormat="1" applyFont="1" applyFill="1" applyBorder="1" applyAlignment="1" applyProtection="1">
      <alignment horizontal="center" vertical="center" wrapText="1"/>
      <protection hidden="1"/>
    </xf>
    <xf numFmtId="167" fontId="1" fillId="7" borderId="71" xfId="0" applyNumberFormat="1" applyFont="1" applyFill="1" applyBorder="1" applyAlignment="1" applyProtection="1">
      <alignment horizontal="center" vertical="center" wrapText="1"/>
      <protection hidden="1"/>
    </xf>
    <xf numFmtId="14" fontId="24" fillId="6" borderId="14" xfId="0" applyNumberFormat="1" applyFont="1" applyFill="1" applyBorder="1" applyAlignment="1" applyProtection="1">
      <alignment horizontal="centerContinuous" vertical="center" wrapText="1"/>
      <protection hidden="1"/>
    </xf>
    <xf numFmtId="165" fontId="24" fillId="0" borderId="0" xfId="0" applyNumberFormat="1" applyFont="1" applyAlignment="1" applyProtection="1">
      <alignment vertical="center" wrapText="1"/>
      <protection hidden="1"/>
    </xf>
    <xf numFmtId="165" fontId="24" fillId="0" borderId="0" xfId="0" applyNumberFormat="1" applyFont="1" applyAlignment="1" applyProtection="1">
      <alignment horizontal="center" vertical="center" wrapText="1"/>
      <protection hidden="1"/>
    </xf>
    <xf numFmtId="166" fontId="24" fillId="0" borderId="0" xfId="0" applyNumberFormat="1" applyFont="1" applyAlignment="1" applyProtection="1">
      <alignment horizontal="center" vertical="center" wrapText="1"/>
      <protection hidden="1"/>
    </xf>
    <xf numFmtId="167" fontId="5" fillId="7" borderId="17" xfId="0" applyNumberFormat="1" applyFont="1" applyFill="1" applyBorder="1" applyAlignment="1" applyProtection="1">
      <alignment horizontal="center" vertical="center" wrapText="1"/>
      <protection hidden="1"/>
    </xf>
    <xf numFmtId="2" fontId="5" fillId="7" borderId="27" xfId="0" applyNumberFormat="1" applyFont="1" applyFill="1" applyBorder="1" applyAlignment="1" applyProtection="1">
      <alignment horizontal="center" vertical="center" wrapText="1"/>
      <protection hidden="1"/>
    </xf>
    <xf numFmtId="165" fontId="5" fillId="7" borderId="25" xfId="0" applyNumberFormat="1" applyFont="1" applyFill="1" applyBorder="1" applyAlignment="1" applyProtection="1">
      <alignment horizontal="center" vertical="center" wrapText="1"/>
      <protection hidden="1"/>
    </xf>
    <xf numFmtId="2" fontId="5" fillId="7" borderId="9" xfId="0" applyNumberFormat="1" applyFont="1" applyFill="1" applyBorder="1" applyAlignment="1" applyProtection="1">
      <alignment horizontal="center" vertical="center" wrapText="1"/>
      <protection hidden="1"/>
    </xf>
    <xf numFmtId="166" fontId="5" fillId="7" borderId="36" xfId="0" applyNumberFormat="1"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3" fillId="0" borderId="0" xfId="0" applyFont="1" applyBorder="1" applyProtection="1">
      <protection hidden="1"/>
    </xf>
    <xf numFmtId="0" fontId="73" fillId="0" borderId="6" xfId="0" applyFont="1" applyBorder="1" applyProtection="1">
      <protection hidden="1"/>
    </xf>
    <xf numFmtId="0" fontId="73" fillId="0" borderId="8" xfId="0" applyFont="1" applyBorder="1" applyProtection="1">
      <protection hidden="1"/>
    </xf>
    <xf numFmtId="0" fontId="73" fillId="0" borderId="0" xfId="0" applyFont="1" applyProtection="1">
      <protection hidden="1"/>
    </xf>
    <xf numFmtId="0" fontId="18" fillId="0" borderId="0" xfId="0" applyFont="1" applyBorder="1" applyAlignment="1" applyProtection="1">
      <alignment vertical="center"/>
      <protection hidden="1"/>
    </xf>
    <xf numFmtId="170" fontId="18" fillId="0" borderId="0" xfId="0" applyNumberFormat="1" applyFont="1" applyBorder="1" applyAlignment="1" applyProtection="1">
      <alignment vertical="center"/>
      <protection hidden="1"/>
    </xf>
    <xf numFmtId="170" fontId="73" fillId="0" borderId="0" xfId="0" applyNumberFormat="1" applyFont="1" applyProtection="1">
      <protection hidden="1"/>
    </xf>
    <xf numFmtId="0" fontId="73" fillId="0" borderId="0" xfId="0" applyFont="1" applyAlignment="1" applyProtection="1">
      <alignment horizontal="center" vertical="center"/>
      <protection hidden="1"/>
    </xf>
    <xf numFmtId="0" fontId="43" fillId="0" borderId="0" xfId="0" applyFont="1" applyFill="1" applyBorder="1" applyAlignment="1" applyProtection="1">
      <alignment vertical="center"/>
      <protection hidden="1"/>
    </xf>
    <xf numFmtId="0" fontId="73" fillId="0" borderId="0" xfId="0" applyFont="1" applyFill="1" applyBorder="1" applyAlignment="1" applyProtection="1">
      <protection hidden="1"/>
    </xf>
    <xf numFmtId="0" fontId="65" fillId="0" borderId="0" xfId="0" applyFont="1" applyProtection="1">
      <protection hidden="1"/>
    </xf>
    <xf numFmtId="0" fontId="43" fillId="2" borderId="41" xfId="0" applyFont="1" applyFill="1" applyBorder="1" applyAlignment="1" applyProtection="1">
      <alignment horizontal="center"/>
      <protection hidden="1"/>
    </xf>
    <xf numFmtId="0" fontId="43" fillId="2" borderId="42" xfId="0" applyFont="1" applyFill="1" applyBorder="1" applyAlignment="1" applyProtection="1">
      <alignment horizontal="center"/>
      <protection hidden="1"/>
    </xf>
    <xf numFmtId="0" fontId="43" fillId="2" borderId="4" xfId="0" applyFont="1" applyFill="1" applyBorder="1" applyProtection="1">
      <protection hidden="1"/>
    </xf>
    <xf numFmtId="0" fontId="43" fillId="19" borderId="1" xfId="0" applyFont="1" applyFill="1" applyBorder="1" applyAlignment="1" applyProtection="1">
      <alignment horizontal="center" vertical="center"/>
      <protection hidden="1"/>
    </xf>
    <xf numFmtId="0" fontId="43" fillId="0" borderId="0" xfId="0" applyFont="1" applyBorder="1" applyProtection="1">
      <protection hidden="1"/>
    </xf>
    <xf numFmtId="0" fontId="73" fillId="0" borderId="0" xfId="0" applyFont="1" applyFill="1" applyBorder="1" applyProtection="1">
      <protection hidden="1"/>
    </xf>
    <xf numFmtId="0" fontId="73" fillId="0" borderId="0" xfId="0" applyFont="1" applyFill="1" applyProtection="1">
      <protection hidden="1"/>
    </xf>
    <xf numFmtId="0" fontId="43" fillId="2" borderId="34" xfId="0" applyFont="1" applyFill="1" applyBorder="1" applyAlignment="1" applyProtection="1">
      <alignment horizontal="center" vertical="center"/>
      <protection hidden="1"/>
    </xf>
    <xf numFmtId="0" fontId="43" fillId="2" borderId="9" xfId="0" applyFont="1" applyFill="1" applyBorder="1" applyAlignment="1" applyProtection="1">
      <alignment horizontal="center" vertical="center"/>
      <protection hidden="1"/>
    </xf>
    <xf numFmtId="170" fontId="43" fillId="2" borderId="9" xfId="0" applyNumberFormat="1" applyFont="1" applyFill="1" applyBorder="1" applyAlignment="1" applyProtection="1">
      <alignment horizontal="center" vertical="center"/>
      <protection hidden="1"/>
    </xf>
    <xf numFmtId="0" fontId="43" fillId="2" borderId="9" xfId="0" applyFont="1" applyFill="1" applyBorder="1" applyAlignment="1" applyProtection="1">
      <alignment horizontal="center" vertical="center" wrapText="1"/>
      <protection hidden="1"/>
    </xf>
    <xf numFmtId="0" fontId="43" fillId="2" borderId="36" xfId="0" applyFont="1" applyFill="1" applyBorder="1" applyAlignment="1" applyProtection="1">
      <alignment horizontal="center" vertical="center"/>
      <protection hidden="1"/>
    </xf>
    <xf numFmtId="0" fontId="43" fillId="0" borderId="41" xfId="0" applyFont="1" applyFill="1" applyBorder="1" applyAlignment="1" applyProtection="1">
      <alignment horizontal="center" vertical="center"/>
      <protection hidden="1"/>
    </xf>
    <xf numFmtId="0" fontId="43" fillId="2" borderId="45" xfId="0" applyFont="1" applyFill="1" applyBorder="1" applyAlignment="1" applyProtection="1">
      <alignment horizontal="center"/>
      <protection hidden="1"/>
    </xf>
    <xf numFmtId="0" fontId="43" fillId="2" borderId="46" xfId="0" applyFont="1" applyFill="1" applyBorder="1" applyAlignment="1" applyProtection="1">
      <alignment horizontal="center"/>
      <protection hidden="1"/>
    </xf>
    <xf numFmtId="170" fontId="43" fillId="2" borderId="46" xfId="0" applyNumberFormat="1" applyFont="1" applyFill="1" applyBorder="1" applyAlignment="1" applyProtection="1">
      <alignment horizontal="center"/>
      <protection hidden="1"/>
    </xf>
    <xf numFmtId="0" fontId="43" fillId="2" borderId="39" xfId="0" applyFont="1" applyFill="1" applyBorder="1" applyAlignment="1" applyProtection="1">
      <alignment horizontal="center"/>
      <protection hidden="1"/>
    </xf>
    <xf numFmtId="0" fontId="43" fillId="0" borderId="34" xfId="0" applyFont="1" applyFill="1" applyBorder="1" applyAlignment="1" applyProtection="1">
      <alignment horizontal="center" vertical="center"/>
      <protection hidden="1"/>
    </xf>
    <xf numFmtId="2" fontId="43" fillId="0" borderId="9" xfId="0" applyNumberFormat="1" applyFont="1" applyFill="1" applyBorder="1" applyAlignment="1" applyProtection="1">
      <alignment vertical="center"/>
      <protection hidden="1"/>
    </xf>
    <xf numFmtId="0" fontId="43" fillId="0" borderId="9" xfId="0" applyFont="1" applyFill="1" applyBorder="1" applyAlignment="1" applyProtection="1">
      <alignment vertical="center"/>
      <protection hidden="1"/>
    </xf>
    <xf numFmtId="0" fontId="43" fillId="0" borderId="11" xfId="0" applyFont="1" applyFill="1" applyBorder="1" applyAlignment="1" applyProtection="1">
      <alignment vertical="center"/>
      <protection hidden="1"/>
    </xf>
    <xf numFmtId="0" fontId="43" fillId="0" borderId="23" xfId="0" applyFont="1" applyFill="1" applyBorder="1" applyAlignment="1" applyProtection="1">
      <alignment vertical="center"/>
      <protection hidden="1"/>
    </xf>
    <xf numFmtId="0" fontId="43" fillId="0" borderId="35" xfId="0" applyFont="1" applyFill="1" applyBorder="1" applyAlignment="1" applyProtection="1">
      <alignment vertical="center"/>
      <protection hidden="1"/>
    </xf>
    <xf numFmtId="0" fontId="43" fillId="0" borderId="0" xfId="0" applyFont="1" applyFill="1" applyBorder="1" applyAlignment="1" applyProtection="1">
      <alignment horizontal="center"/>
      <protection hidden="1"/>
    </xf>
    <xf numFmtId="0" fontId="43" fillId="0" borderId="0" xfId="0" applyFont="1" applyBorder="1" applyAlignment="1" applyProtection="1">
      <alignment horizontal="center"/>
      <protection hidden="1"/>
    </xf>
    <xf numFmtId="170" fontId="43" fillId="0" borderId="0" xfId="0" applyNumberFormat="1" applyFont="1" applyFill="1" applyBorder="1" applyAlignment="1" applyProtection="1">
      <alignment horizontal="center"/>
      <protection hidden="1"/>
    </xf>
    <xf numFmtId="0" fontId="43" fillId="0" borderId="36" xfId="0" applyFont="1" applyFill="1" applyBorder="1" applyAlignment="1" applyProtection="1">
      <alignment vertical="center"/>
      <protection hidden="1"/>
    </xf>
    <xf numFmtId="0" fontId="43" fillId="0" borderId="45" xfId="0" applyFont="1" applyFill="1" applyBorder="1" applyAlignment="1" applyProtection="1">
      <alignment horizontal="center" vertical="center"/>
      <protection hidden="1"/>
    </xf>
    <xf numFmtId="2" fontId="43" fillId="0" borderId="46" xfId="0" applyNumberFormat="1" applyFont="1" applyFill="1" applyBorder="1" applyAlignment="1" applyProtection="1">
      <alignment vertical="center"/>
      <protection hidden="1"/>
    </xf>
    <xf numFmtId="0" fontId="43" fillId="0" borderId="46" xfId="0" applyFont="1" applyFill="1" applyBorder="1" applyAlignment="1" applyProtection="1">
      <alignment vertical="center"/>
      <protection hidden="1"/>
    </xf>
    <xf numFmtId="0" fontId="43" fillId="2" borderId="42" xfId="0" applyFont="1" applyFill="1" applyBorder="1" applyAlignment="1" applyProtection="1">
      <alignment horizontal="center" vertical="center" wrapText="1"/>
      <protection hidden="1"/>
    </xf>
    <xf numFmtId="1" fontId="43" fillId="2" borderId="42" xfId="0" applyNumberFormat="1" applyFont="1" applyFill="1" applyBorder="1" applyAlignment="1" applyProtection="1">
      <alignment horizontal="center" vertical="center" wrapText="1"/>
      <protection hidden="1"/>
    </xf>
    <xf numFmtId="0" fontId="43" fillId="2" borderId="43" xfId="0" applyFont="1" applyFill="1" applyBorder="1" applyAlignment="1" applyProtection="1">
      <alignment horizontal="center" vertical="center" wrapText="1"/>
      <protection hidden="1"/>
    </xf>
    <xf numFmtId="14" fontId="43" fillId="2" borderId="9" xfId="0" applyNumberFormat="1" applyFont="1" applyFill="1" applyBorder="1" applyAlignment="1" applyProtection="1">
      <alignment horizontal="center" vertical="center" wrapText="1"/>
      <protection hidden="1"/>
    </xf>
    <xf numFmtId="1" fontId="43" fillId="2" borderId="9" xfId="0" applyNumberFormat="1" applyFont="1" applyFill="1" applyBorder="1" applyAlignment="1" applyProtection="1">
      <alignment horizontal="center" vertical="center" wrapText="1"/>
      <protection hidden="1"/>
    </xf>
    <xf numFmtId="2" fontId="43" fillId="2" borderId="9" xfId="0" applyNumberFormat="1" applyFont="1" applyFill="1" applyBorder="1" applyAlignment="1" applyProtection="1">
      <alignment horizontal="center" vertical="center" wrapText="1"/>
      <protection hidden="1"/>
    </xf>
    <xf numFmtId="173" fontId="43" fillId="2" borderId="9" xfId="0" applyNumberFormat="1" applyFont="1" applyFill="1" applyBorder="1" applyAlignment="1" applyProtection="1">
      <alignment horizontal="center" vertical="center" wrapText="1"/>
      <protection hidden="1"/>
    </xf>
    <xf numFmtId="166" fontId="43" fillId="2" borderId="9" xfId="0" applyNumberFormat="1" applyFont="1" applyFill="1" applyBorder="1" applyAlignment="1" applyProtection="1">
      <alignment horizontal="center" vertical="center" wrapText="1"/>
      <protection hidden="1"/>
    </xf>
    <xf numFmtId="170" fontId="43" fillId="0" borderId="0" xfId="0" applyNumberFormat="1" applyFont="1" applyBorder="1" applyAlignment="1" applyProtection="1">
      <alignment horizontal="center"/>
      <protection hidden="1"/>
    </xf>
    <xf numFmtId="0" fontId="43" fillId="0" borderId="42" xfId="0" applyFont="1" applyFill="1" applyBorder="1" applyAlignment="1" applyProtection="1">
      <alignment horizontal="center" vertical="center" wrapText="1"/>
      <protection hidden="1"/>
    </xf>
    <xf numFmtId="0" fontId="43" fillId="0" borderId="43" xfId="0" applyFont="1" applyFill="1" applyBorder="1" applyAlignment="1" applyProtection="1">
      <alignment horizontal="center" vertical="center"/>
      <protection hidden="1"/>
    </xf>
    <xf numFmtId="167" fontId="73" fillId="2" borderId="41" xfId="0" applyNumberFormat="1" applyFont="1" applyFill="1" applyBorder="1" applyAlignment="1" applyProtection="1">
      <alignment horizontal="center" vertical="center"/>
      <protection hidden="1"/>
    </xf>
    <xf numFmtId="0" fontId="73" fillId="2" borderId="43" xfId="0" applyFont="1" applyFill="1" applyBorder="1" applyAlignment="1" applyProtection="1">
      <alignment horizontal="center" vertical="center"/>
      <protection hidden="1"/>
    </xf>
    <xf numFmtId="0" fontId="43" fillId="0" borderId="34" xfId="0" applyFont="1" applyFill="1" applyBorder="1" applyProtection="1">
      <protection hidden="1"/>
    </xf>
    <xf numFmtId="0" fontId="43" fillId="0" borderId="9" xfId="0" applyFont="1" applyFill="1" applyBorder="1" applyProtection="1">
      <protection hidden="1"/>
    </xf>
    <xf numFmtId="0" fontId="43" fillId="0" borderId="36" xfId="0" applyFont="1" applyFill="1" applyBorder="1" applyProtection="1">
      <protection hidden="1"/>
    </xf>
    <xf numFmtId="0" fontId="73" fillId="2" borderId="34" xfId="0" applyFont="1" applyFill="1" applyBorder="1" applyAlignment="1" applyProtection="1">
      <alignment horizontal="center" vertical="center"/>
      <protection hidden="1"/>
    </xf>
    <xf numFmtId="0" fontId="73" fillId="2" borderId="36" xfId="0" applyFont="1" applyFill="1" applyBorder="1" applyAlignment="1" applyProtection="1">
      <alignment horizontal="center" vertical="center"/>
      <protection hidden="1"/>
    </xf>
    <xf numFmtId="0" fontId="73" fillId="2" borderId="45" xfId="0" applyFont="1" applyFill="1" applyBorder="1" applyAlignment="1" applyProtection="1">
      <alignment horizontal="center" vertical="center"/>
      <protection hidden="1"/>
    </xf>
    <xf numFmtId="0" fontId="73" fillId="2" borderId="39" xfId="0" applyFont="1" applyFill="1" applyBorder="1" applyAlignment="1" applyProtection="1">
      <alignment horizontal="center" vertical="center"/>
      <protection hidden="1"/>
    </xf>
    <xf numFmtId="0" fontId="73" fillId="0" borderId="2" xfId="0" applyFont="1" applyBorder="1" applyProtection="1">
      <protection hidden="1"/>
    </xf>
    <xf numFmtId="0" fontId="73" fillId="0" borderId="3" xfId="0" applyFont="1" applyBorder="1" applyProtection="1">
      <protection hidden="1"/>
    </xf>
    <xf numFmtId="0" fontId="73" fillId="0" borderId="3" xfId="0" applyFont="1" applyFill="1" applyBorder="1" applyAlignment="1" applyProtection="1">
      <alignment horizontal="center" vertical="center"/>
      <protection hidden="1"/>
    </xf>
    <xf numFmtId="2" fontId="73" fillId="0" borderId="3" xfId="0" applyNumberFormat="1" applyFont="1" applyFill="1" applyBorder="1" applyAlignment="1" applyProtection="1">
      <alignment horizontal="left" vertical="center"/>
      <protection hidden="1"/>
    </xf>
    <xf numFmtId="0" fontId="73" fillId="0" borderId="3" xfId="0" applyFont="1" applyFill="1" applyBorder="1" applyProtection="1">
      <protection hidden="1"/>
    </xf>
    <xf numFmtId="170" fontId="73" fillId="0" borderId="3" xfId="0" applyNumberFormat="1" applyFont="1" applyFill="1" applyBorder="1" applyProtection="1">
      <protection hidden="1"/>
    </xf>
    <xf numFmtId="0" fontId="73" fillId="0" borderId="4" xfId="0" applyFont="1" applyFill="1" applyBorder="1" applyProtection="1">
      <protection hidden="1"/>
    </xf>
    <xf numFmtId="0" fontId="22" fillId="2" borderId="76" xfId="0" applyFont="1" applyFill="1" applyBorder="1" applyAlignment="1" applyProtection="1">
      <alignment horizontal="center" vertical="center"/>
      <protection hidden="1"/>
    </xf>
    <xf numFmtId="0" fontId="22" fillId="2" borderId="3" xfId="0" applyFont="1" applyFill="1" applyBorder="1" applyAlignment="1" applyProtection="1">
      <alignment horizontal="center" vertical="center"/>
      <protection hidden="1"/>
    </xf>
    <xf numFmtId="0" fontId="73" fillId="0" borderId="10" xfId="0" applyFont="1" applyBorder="1" applyProtection="1">
      <protection hidden="1"/>
    </xf>
    <xf numFmtId="0" fontId="73" fillId="0" borderId="51" xfId="0" applyFont="1" applyBorder="1" applyProtection="1">
      <protection hidden="1"/>
    </xf>
    <xf numFmtId="0" fontId="43" fillId="0" borderId="47" xfId="0" applyFont="1" applyFill="1" applyBorder="1" applyAlignment="1" applyProtection="1">
      <alignment horizontal="center" vertical="center"/>
      <protection hidden="1"/>
    </xf>
    <xf numFmtId="0" fontId="43" fillId="0" borderId="55" xfId="0" applyFont="1" applyFill="1" applyBorder="1" applyAlignment="1" applyProtection="1">
      <alignment horizontal="center" vertical="center"/>
      <protection hidden="1"/>
    </xf>
    <xf numFmtId="0" fontId="43" fillId="2" borderId="41" xfId="0" applyFont="1" applyFill="1" applyBorder="1" applyAlignment="1" applyProtection="1">
      <alignment horizontal="center" vertical="center"/>
      <protection hidden="1"/>
    </xf>
    <xf numFmtId="0" fontId="43" fillId="2" borderId="42" xfId="0" applyFont="1" applyFill="1" applyBorder="1" applyAlignment="1" applyProtection="1">
      <protection hidden="1"/>
    </xf>
    <xf numFmtId="0" fontId="43" fillId="2" borderId="43" xfId="0" applyFont="1" applyFill="1" applyBorder="1" applyAlignment="1" applyProtection="1">
      <alignment vertical="center"/>
      <protection hidden="1"/>
    </xf>
    <xf numFmtId="170" fontId="73" fillId="0" borderId="0" xfId="0" applyNumberFormat="1" applyFont="1" applyBorder="1" applyProtection="1">
      <protection hidden="1"/>
    </xf>
    <xf numFmtId="167" fontId="43" fillId="2" borderId="9" xfId="0" applyNumberFormat="1" applyFont="1" applyFill="1" applyBorder="1" applyAlignment="1" applyProtection="1">
      <alignment horizontal="center" vertical="center"/>
      <protection hidden="1"/>
    </xf>
    <xf numFmtId="0" fontId="22" fillId="19" borderId="19" xfId="0" applyFont="1" applyFill="1" applyBorder="1" applyAlignment="1" applyProtection="1">
      <alignment horizontal="center" vertical="center" wrapText="1"/>
      <protection hidden="1"/>
    </xf>
    <xf numFmtId="0" fontId="22" fillId="19" borderId="22" xfId="0" applyFont="1" applyFill="1" applyBorder="1" applyAlignment="1" applyProtection="1">
      <alignment horizontal="center" vertical="center" wrapText="1"/>
      <protection hidden="1"/>
    </xf>
    <xf numFmtId="170" fontId="22" fillId="19" borderId="22" xfId="0" applyNumberFormat="1" applyFont="1" applyFill="1" applyBorder="1" applyAlignment="1" applyProtection="1">
      <alignment horizontal="center" vertical="center" wrapText="1"/>
      <protection hidden="1"/>
    </xf>
    <xf numFmtId="0" fontId="22" fillId="19" borderId="20" xfId="0" applyFont="1" applyFill="1" applyBorder="1" applyAlignment="1" applyProtection="1">
      <alignment horizontal="center" vertical="center" wrapText="1"/>
      <protection hidden="1"/>
    </xf>
    <xf numFmtId="0" fontId="43" fillId="2" borderId="45" xfId="0" applyFont="1" applyFill="1" applyBorder="1" applyAlignment="1" applyProtection="1">
      <alignment horizontal="center" vertical="center"/>
      <protection hidden="1"/>
    </xf>
    <xf numFmtId="2" fontId="43" fillId="2" borderId="46" xfId="0" applyNumberFormat="1" applyFont="1" applyFill="1" applyBorder="1" applyAlignment="1" applyProtection="1">
      <alignment vertical="center"/>
      <protection hidden="1"/>
    </xf>
    <xf numFmtId="0" fontId="43" fillId="2" borderId="46" xfId="0" applyFont="1" applyFill="1" applyBorder="1" applyAlignment="1" applyProtection="1">
      <alignment vertical="center"/>
      <protection hidden="1"/>
    </xf>
    <xf numFmtId="0" fontId="43" fillId="2" borderId="39" xfId="0" applyFont="1" applyFill="1" applyBorder="1" applyAlignment="1" applyProtection="1">
      <alignment vertical="center"/>
      <protection hidden="1"/>
    </xf>
    <xf numFmtId="0" fontId="43" fillId="0" borderId="31" xfId="0" applyFont="1" applyBorder="1" applyProtection="1">
      <protection hidden="1"/>
    </xf>
    <xf numFmtId="0" fontId="43" fillId="0" borderId="30" xfId="0" applyFont="1" applyBorder="1" applyProtection="1">
      <protection hidden="1"/>
    </xf>
    <xf numFmtId="0" fontId="43" fillId="0" borderId="3" xfId="0" applyFont="1" applyBorder="1" applyProtection="1">
      <protection hidden="1"/>
    </xf>
    <xf numFmtId="170" fontId="43" fillId="0" borderId="3" xfId="0" applyNumberFormat="1" applyFont="1" applyBorder="1" applyProtection="1">
      <protection hidden="1"/>
    </xf>
    <xf numFmtId="0" fontId="43" fillId="0" borderId="4" xfId="0" applyFont="1" applyBorder="1" applyProtection="1">
      <protection hidden="1"/>
    </xf>
    <xf numFmtId="0" fontId="73" fillId="0" borderId="51" xfId="0" applyFont="1" applyFill="1" applyBorder="1" applyProtection="1">
      <protection hidden="1"/>
    </xf>
    <xf numFmtId="0" fontId="43" fillId="0" borderId="72" xfId="0" applyFont="1" applyFill="1" applyBorder="1" applyAlignment="1" applyProtection="1">
      <alignment horizontal="center" vertical="center" wrapText="1"/>
      <protection hidden="1"/>
    </xf>
    <xf numFmtId="0" fontId="43" fillId="0" borderId="78" xfId="0" applyFont="1" applyFill="1" applyBorder="1" applyAlignment="1" applyProtection="1">
      <alignment horizontal="center" vertical="center" wrapText="1"/>
      <protection hidden="1"/>
    </xf>
    <xf numFmtId="0" fontId="22" fillId="0" borderId="41" xfId="0" applyFont="1" applyFill="1" applyBorder="1" applyAlignment="1" applyProtection="1">
      <alignment horizontal="center" vertical="center" wrapText="1"/>
      <protection hidden="1"/>
    </xf>
    <xf numFmtId="2" fontId="43" fillId="0" borderId="42" xfId="0" applyNumberFormat="1" applyFont="1" applyFill="1" applyBorder="1" applyAlignment="1" applyProtection="1">
      <alignment horizontal="center" vertical="center" wrapText="1"/>
      <protection hidden="1"/>
    </xf>
    <xf numFmtId="0" fontId="43" fillId="0" borderId="42" xfId="0" applyFont="1" applyFill="1" applyBorder="1" applyAlignment="1" applyProtection="1">
      <alignment horizontal="center" vertical="center"/>
      <protection hidden="1"/>
    </xf>
    <xf numFmtId="170" fontId="43" fillId="0" borderId="42" xfId="0" applyNumberFormat="1" applyFont="1" applyFill="1" applyBorder="1" applyAlignment="1" applyProtection="1">
      <alignment horizontal="center" vertical="center" wrapText="1"/>
      <protection hidden="1"/>
    </xf>
    <xf numFmtId="165" fontId="43" fillId="0" borderId="42" xfId="0" applyNumberFormat="1" applyFont="1" applyFill="1" applyBorder="1" applyAlignment="1" applyProtection="1">
      <alignment horizontal="center" vertical="center" wrapText="1"/>
      <protection hidden="1"/>
    </xf>
    <xf numFmtId="0" fontId="43" fillId="0" borderId="43" xfId="0" applyFont="1" applyFill="1" applyBorder="1" applyAlignment="1" applyProtection="1">
      <alignment horizontal="center" vertical="center" wrapText="1"/>
      <protection hidden="1"/>
    </xf>
    <xf numFmtId="0" fontId="22" fillId="0" borderId="45" xfId="0" applyFont="1" applyFill="1" applyBorder="1" applyAlignment="1" applyProtection="1">
      <alignment horizontal="center" vertical="center" wrapText="1"/>
      <protection hidden="1"/>
    </xf>
    <xf numFmtId="0" fontId="43" fillId="0" borderId="46" xfId="0" applyFont="1" applyFill="1" applyBorder="1" applyAlignment="1" applyProtection="1">
      <alignment horizontal="center" vertical="center" wrapText="1"/>
      <protection hidden="1"/>
    </xf>
    <xf numFmtId="14" fontId="43" fillId="0" borderId="46" xfId="0" applyNumberFormat="1" applyFont="1" applyFill="1" applyBorder="1" applyAlignment="1" applyProtection="1">
      <alignment horizontal="center" vertical="center" wrapText="1"/>
      <protection hidden="1"/>
    </xf>
    <xf numFmtId="167" fontId="43" fillId="0" borderId="46" xfId="0" applyNumberFormat="1" applyFont="1" applyFill="1" applyBorder="1" applyAlignment="1" applyProtection="1">
      <alignment horizontal="center" vertical="center" wrapText="1"/>
      <protection hidden="1"/>
    </xf>
    <xf numFmtId="170" fontId="43" fillId="0" borderId="46" xfId="0" applyNumberFormat="1" applyFont="1" applyFill="1" applyBorder="1" applyAlignment="1" applyProtection="1">
      <alignment horizontal="center" vertical="center" wrapText="1"/>
      <protection hidden="1"/>
    </xf>
    <xf numFmtId="165" fontId="43" fillId="0" borderId="46" xfId="0" applyNumberFormat="1" applyFont="1" applyFill="1" applyBorder="1" applyAlignment="1" applyProtection="1">
      <alignment horizontal="center" vertical="center" wrapText="1"/>
      <protection hidden="1"/>
    </xf>
    <xf numFmtId="0" fontId="43" fillId="0" borderId="39" xfId="0" applyFont="1" applyFill="1" applyBorder="1" applyAlignment="1" applyProtection="1">
      <alignment vertical="center" wrapText="1"/>
      <protection hidden="1"/>
    </xf>
    <xf numFmtId="0" fontId="43" fillId="0" borderId="36" xfId="0" applyFont="1" applyBorder="1" applyAlignment="1" applyProtection="1">
      <alignment horizontal="center" vertical="center"/>
      <protection hidden="1"/>
    </xf>
    <xf numFmtId="0" fontId="43" fillId="0" borderId="0" xfId="0" applyFont="1" applyFill="1" applyBorder="1" applyProtection="1">
      <protection hidden="1"/>
    </xf>
    <xf numFmtId="170" fontId="43" fillId="0" borderId="0" xfId="0" applyNumberFormat="1" applyFont="1" applyFill="1" applyBorder="1" applyProtection="1">
      <protection hidden="1"/>
    </xf>
    <xf numFmtId="0" fontId="43" fillId="0" borderId="76" xfId="0" applyFont="1" applyBorder="1" applyAlignment="1" applyProtection="1">
      <alignment horizontal="center" vertical="center"/>
      <protection hidden="1"/>
    </xf>
    <xf numFmtId="0" fontId="22" fillId="5" borderId="47" xfId="0" applyFont="1" applyFill="1" applyBorder="1" applyAlignment="1" applyProtection="1">
      <alignment horizontal="center" vertical="center" wrapText="1"/>
      <protection hidden="1"/>
    </xf>
    <xf numFmtId="0" fontId="22" fillId="5" borderId="55" xfId="0" applyFont="1" applyFill="1" applyBorder="1" applyAlignment="1" applyProtection="1">
      <alignment horizontal="center" vertical="center" wrapText="1"/>
      <protection hidden="1"/>
    </xf>
    <xf numFmtId="170" fontId="22" fillId="5" borderId="48" xfId="0" applyNumberFormat="1" applyFont="1" applyFill="1" applyBorder="1" applyAlignment="1" applyProtection="1">
      <alignment horizontal="center" vertical="center" wrapText="1"/>
      <protection hidden="1"/>
    </xf>
    <xf numFmtId="0" fontId="22" fillId="5" borderId="83" xfId="0" applyFont="1" applyFill="1" applyBorder="1" applyAlignment="1" applyProtection="1">
      <alignment horizontal="center" vertical="center" wrapText="1"/>
      <protection hidden="1"/>
    </xf>
    <xf numFmtId="0" fontId="43" fillId="0" borderId="9" xfId="0" applyFont="1" applyBorder="1" applyAlignment="1" applyProtection="1">
      <alignment horizontal="center" vertical="center"/>
      <protection hidden="1"/>
    </xf>
    <xf numFmtId="0" fontId="43" fillId="0" borderId="17" xfId="0" applyFont="1" applyFill="1" applyBorder="1" applyProtection="1">
      <protection hidden="1"/>
    </xf>
    <xf numFmtId="0" fontId="73" fillId="0" borderId="33" xfId="0" applyFont="1" applyBorder="1" applyProtection="1">
      <protection hidden="1"/>
    </xf>
    <xf numFmtId="0" fontId="43" fillId="0" borderId="61" xfId="0" applyFont="1" applyBorder="1" applyAlignment="1" applyProtection="1">
      <alignment horizontal="center" vertical="center"/>
      <protection hidden="1"/>
    </xf>
    <xf numFmtId="170" fontId="43" fillId="0" borderId="61" xfId="0" applyNumberFormat="1" applyFont="1" applyBorder="1" applyProtection="1">
      <protection hidden="1"/>
    </xf>
    <xf numFmtId="0" fontId="43" fillId="0" borderId="56" xfId="0" applyFont="1" applyBorder="1" applyProtection="1">
      <protection hidden="1"/>
    </xf>
    <xf numFmtId="0" fontId="43" fillId="0" borderId="14" xfId="0" applyFont="1" applyBorder="1" applyAlignment="1" applyProtection="1">
      <alignment horizontal="center" vertical="center"/>
      <protection hidden="1"/>
    </xf>
    <xf numFmtId="0" fontId="43" fillId="0" borderId="9" xfId="0" applyFont="1" applyFill="1" applyBorder="1" applyAlignment="1" applyProtection="1">
      <alignment horizontal="center" vertical="center" wrapText="1"/>
      <protection hidden="1"/>
    </xf>
    <xf numFmtId="170" fontId="43" fillId="0" borderId="9" xfId="0" applyNumberFormat="1" applyFont="1" applyBorder="1" applyAlignment="1" applyProtection="1">
      <alignment horizontal="center" vertical="center"/>
      <protection hidden="1"/>
    </xf>
    <xf numFmtId="14" fontId="43" fillId="0" borderId="36" xfId="0" applyNumberFormat="1" applyFont="1" applyBorder="1" applyAlignment="1" applyProtection="1">
      <alignment horizontal="center" vertical="center"/>
      <protection hidden="1"/>
    </xf>
    <xf numFmtId="0" fontId="43" fillId="0" borderId="46" xfId="0" applyFont="1" applyBorder="1" applyAlignment="1" applyProtection="1">
      <alignment horizontal="center" vertical="center"/>
      <protection hidden="1"/>
    </xf>
    <xf numFmtId="0" fontId="43" fillId="0" borderId="39" xfId="0" applyFont="1" applyBorder="1" applyAlignment="1" applyProtection="1">
      <alignment horizontal="center" vertical="center"/>
      <protection hidden="1"/>
    </xf>
    <xf numFmtId="0" fontId="65" fillId="0" borderId="0" xfId="0" applyFont="1" applyAlignment="1" applyProtection="1">
      <alignment horizontal="center" vertical="center" wrapText="1"/>
      <protection hidden="1"/>
    </xf>
    <xf numFmtId="0" fontId="43" fillId="0" borderId="27" xfId="0" applyFont="1" applyBorder="1" applyAlignment="1" applyProtection="1">
      <alignment horizontal="center" vertical="center"/>
      <protection hidden="1"/>
    </xf>
    <xf numFmtId="0" fontId="43" fillId="0" borderId="12" xfId="0" applyFont="1" applyFill="1" applyBorder="1" applyAlignment="1" applyProtection="1">
      <alignment horizontal="center" vertical="center" wrapText="1"/>
      <protection hidden="1"/>
    </xf>
    <xf numFmtId="0" fontId="43" fillId="0" borderId="12" xfId="0" applyFont="1" applyBorder="1" applyAlignment="1" applyProtection="1">
      <alignment horizontal="center" vertical="center" wrapText="1"/>
      <protection hidden="1"/>
    </xf>
    <xf numFmtId="0" fontId="43" fillId="0" borderId="12" xfId="0" applyFont="1" applyBorder="1" applyAlignment="1" applyProtection="1">
      <alignment horizontal="center" vertical="center"/>
      <protection hidden="1"/>
    </xf>
    <xf numFmtId="170" fontId="43" fillId="0" borderId="12" xfId="0" applyNumberFormat="1" applyFont="1" applyBorder="1" applyAlignment="1" applyProtection="1">
      <alignment horizontal="center" vertical="center"/>
      <protection hidden="1"/>
    </xf>
    <xf numFmtId="14" fontId="43" fillId="0" borderId="62" xfId="0" applyNumberFormat="1" applyFont="1" applyBorder="1" applyAlignment="1" applyProtection="1">
      <alignment horizontal="center" vertical="center"/>
      <protection hidden="1"/>
    </xf>
    <xf numFmtId="0" fontId="73" fillId="0" borderId="3" xfId="0" applyFont="1" applyBorder="1" applyAlignment="1" applyProtection="1">
      <alignment vertical="center" textRotation="90" wrapText="1"/>
      <protection hidden="1"/>
    </xf>
    <xf numFmtId="0" fontId="43" fillId="0" borderId="3" xfId="0" applyFont="1" applyBorder="1" applyAlignment="1" applyProtection="1">
      <alignment horizontal="center" vertical="center"/>
      <protection hidden="1"/>
    </xf>
    <xf numFmtId="170" fontId="43" fillId="0" borderId="0" xfId="0" applyNumberFormat="1" applyFont="1" applyBorder="1" applyProtection="1">
      <protection hidden="1"/>
    </xf>
    <xf numFmtId="0" fontId="43" fillId="0" borderId="0" xfId="0" applyFont="1" applyBorder="1" applyAlignment="1" applyProtection="1">
      <alignment horizontal="center" vertical="center"/>
      <protection hidden="1"/>
    </xf>
    <xf numFmtId="170" fontId="22" fillId="5" borderId="83" xfId="0" applyNumberFormat="1" applyFont="1" applyFill="1" applyBorder="1" applyAlignment="1" applyProtection="1">
      <alignment horizontal="center" vertical="center" wrapText="1"/>
      <protection hidden="1"/>
    </xf>
    <xf numFmtId="0" fontId="73" fillId="0" borderId="47" xfId="0" applyFont="1" applyBorder="1" applyProtection="1">
      <protection hidden="1"/>
    </xf>
    <xf numFmtId="0" fontId="43" fillId="0" borderId="29" xfId="0" applyFont="1" applyBorder="1" applyAlignment="1" applyProtection="1">
      <alignment horizontal="center" vertical="center"/>
      <protection hidden="1"/>
    </xf>
    <xf numFmtId="0" fontId="43" fillId="0" borderId="7" xfId="0" applyFont="1" applyBorder="1" applyAlignment="1" applyProtection="1">
      <alignment horizontal="center" vertical="center"/>
      <protection hidden="1"/>
    </xf>
    <xf numFmtId="170" fontId="43" fillId="0" borderId="7" xfId="0" applyNumberFormat="1" applyFont="1" applyBorder="1" applyAlignment="1" applyProtection="1">
      <alignment horizontal="center" vertical="center"/>
      <protection hidden="1"/>
    </xf>
    <xf numFmtId="0" fontId="43" fillId="0" borderId="21" xfId="0" applyFont="1" applyBorder="1" applyProtection="1">
      <protection hidden="1"/>
    </xf>
    <xf numFmtId="0" fontId="43" fillId="0" borderId="41" xfId="0" applyFont="1" applyBorder="1" applyAlignment="1" applyProtection="1">
      <alignment horizontal="center" vertical="center"/>
      <protection hidden="1"/>
    </xf>
    <xf numFmtId="1" fontId="43" fillId="0" borderId="50" xfId="0" applyNumberFormat="1" applyFont="1" applyFill="1" applyBorder="1" applyAlignment="1" applyProtection="1">
      <alignment vertical="center" wrapText="1"/>
      <protection hidden="1"/>
    </xf>
    <xf numFmtId="166" fontId="43" fillId="0" borderId="42" xfId="0" applyNumberFormat="1" applyFont="1" applyBorder="1" applyAlignment="1" applyProtection="1">
      <alignment horizontal="center" vertical="center"/>
      <protection hidden="1"/>
    </xf>
    <xf numFmtId="0" fontId="43" fillId="0" borderId="42" xfId="0" applyFont="1" applyBorder="1" applyAlignment="1" applyProtection="1">
      <alignment horizontal="center" vertical="center"/>
      <protection hidden="1"/>
    </xf>
    <xf numFmtId="167" fontId="43" fillId="0" borderId="42" xfId="0" applyNumberFormat="1" applyFont="1" applyBorder="1" applyAlignment="1" applyProtection="1">
      <alignment horizontal="center" vertical="center"/>
      <protection hidden="1"/>
    </xf>
    <xf numFmtId="170" fontId="43" fillId="0" borderId="42" xfId="0" applyNumberFormat="1" applyFont="1" applyBorder="1" applyAlignment="1" applyProtection="1">
      <alignment horizontal="center" vertical="center"/>
      <protection hidden="1"/>
    </xf>
    <xf numFmtId="166" fontId="43" fillId="0" borderId="9" xfId="0" applyNumberFormat="1" applyFont="1" applyBorder="1" applyAlignment="1" applyProtection="1">
      <alignment horizontal="center" vertical="center"/>
      <protection hidden="1"/>
    </xf>
    <xf numFmtId="167" fontId="43" fillId="0" borderId="9" xfId="0" applyNumberFormat="1" applyFont="1" applyBorder="1" applyAlignment="1" applyProtection="1">
      <alignment horizontal="center" vertical="center"/>
      <protection hidden="1"/>
    </xf>
    <xf numFmtId="0" fontId="43" fillId="0" borderId="19" xfId="0" applyFont="1" applyBorder="1" applyAlignment="1" applyProtection="1">
      <alignment horizontal="center" vertical="center"/>
      <protection hidden="1"/>
    </xf>
    <xf numFmtId="1" fontId="43" fillId="0" borderId="21" xfId="0" applyNumberFormat="1" applyFont="1" applyFill="1" applyBorder="1" applyAlignment="1" applyProtection="1">
      <alignment vertical="center" wrapText="1"/>
      <protection hidden="1"/>
    </xf>
    <xf numFmtId="166" fontId="43" fillId="0" borderId="46" xfId="0" applyNumberFormat="1" applyFont="1" applyBorder="1" applyAlignment="1" applyProtection="1">
      <alignment horizontal="center" vertical="center"/>
      <protection hidden="1"/>
    </xf>
    <xf numFmtId="167" fontId="43" fillId="0" borderId="46" xfId="0" applyNumberFormat="1" applyFont="1" applyBorder="1" applyAlignment="1" applyProtection="1">
      <alignment horizontal="center" vertical="center"/>
      <protection hidden="1"/>
    </xf>
    <xf numFmtId="170" fontId="43" fillId="0" borderId="46" xfId="0" applyNumberFormat="1" applyFont="1" applyBorder="1" applyAlignment="1" applyProtection="1">
      <alignment horizontal="center" vertical="center"/>
      <protection hidden="1"/>
    </xf>
    <xf numFmtId="0" fontId="43" fillId="0" borderId="6" xfId="0" applyFont="1" applyBorder="1" applyAlignment="1" applyProtection="1">
      <alignment horizontal="center" vertical="center"/>
      <protection hidden="1"/>
    </xf>
    <xf numFmtId="0" fontId="73" fillId="0" borderId="7" xfId="0" applyFont="1" applyBorder="1" applyProtection="1">
      <protection hidden="1"/>
    </xf>
    <xf numFmtId="1" fontId="43" fillId="0" borderId="7" xfId="0" applyNumberFormat="1" applyFont="1" applyFill="1" applyBorder="1" applyAlignment="1" applyProtection="1">
      <alignment vertical="center" wrapText="1"/>
      <protection hidden="1"/>
    </xf>
    <xf numFmtId="166" fontId="43" fillId="0" borderId="7" xfId="0" applyNumberFormat="1" applyFont="1" applyBorder="1" applyAlignment="1" applyProtection="1">
      <alignment horizontal="center" vertical="center"/>
      <protection hidden="1"/>
    </xf>
    <xf numFmtId="0" fontId="43" fillId="0" borderId="8" xfId="0" applyFont="1" applyBorder="1" applyProtection="1">
      <protection hidden="1"/>
    </xf>
    <xf numFmtId="1" fontId="43" fillId="0" borderId="42" xfId="0" applyNumberFormat="1" applyFont="1" applyFill="1" applyBorder="1" applyAlignment="1" applyProtection="1">
      <alignment vertical="center" wrapText="1"/>
      <protection hidden="1"/>
    </xf>
    <xf numFmtId="170" fontId="43" fillId="0" borderId="43" xfId="0" applyNumberFormat="1" applyFont="1" applyBorder="1" applyAlignment="1" applyProtection="1">
      <alignment horizontal="center" vertical="center"/>
      <protection hidden="1"/>
    </xf>
    <xf numFmtId="1" fontId="43" fillId="0" borderId="9" xfId="0" applyNumberFormat="1" applyFont="1" applyFill="1" applyBorder="1" applyAlignment="1" applyProtection="1">
      <alignment vertical="center" wrapText="1"/>
      <protection hidden="1"/>
    </xf>
    <xf numFmtId="170" fontId="43" fillId="0" borderId="36" xfId="0" applyNumberFormat="1" applyFont="1" applyBorder="1" applyAlignment="1" applyProtection="1">
      <alignment horizontal="center" vertical="center"/>
      <protection hidden="1"/>
    </xf>
    <xf numFmtId="1" fontId="43" fillId="0" borderId="46" xfId="0" applyNumberFormat="1" applyFont="1" applyFill="1" applyBorder="1" applyAlignment="1" applyProtection="1">
      <alignment vertical="center" wrapText="1"/>
      <protection hidden="1"/>
    </xf>
    <xf numFmtId="170" fontId="43" fillId="0" borderId="39" xfId="0" applyNumberFormat="1" applyFont="1" applyBorder="1" applyAlignment="1" applyProtection="1">
      <alignment horizontal="center" vertical="center"/>
      <protection hidden="1"/>
    </xf>
    <xf numFmtId="0" fontId="22" fillId="5" borderId="15" xfId="0" applyFont="1" applyFill="1" applyBorder="1" applyAlignment="1" applyProtection="1">
      <alignment horizontal="center" vertical="center" wrapText="1"/>
      <protection hidden="1"/>
    </xf>
    <xf numFmtId="0" fontId="22" fillId="5" borderId="53" xfId="0" applyFont="1" applyFill="1" applyBorder="1" applyAlignment="1" applyProtection="1">
      <alignment horizontal="center" vertical="center" wrapText="1"/>
      <protection hidden="1"/>
    </xf>
    <xf numFmtId="170" fontId="22" fillId="5" borderId="68" xfId="0" applyNumberFormat="1" applyFont="1" applyFill="1" applyBorder="1" applyAlignment="1" applyProtection="1">
      <alignment horizontal="center" vertical="center" wrapText="1"/>
      <protection hidden="1"/>
    </xf>
    <xf numFmtId="0" fontId="43" fillId="2" borderId="53" xfId="0" applyFont="1" applyFill="1" applyBorder="1" applyAlignment="1" applyProtection="1">
      <alignment horizontal="center" vertical="center"/>
      <protection hidden="1"/>
    </xf>
    <xf numFmtId="0" fontId="73" fillId="2" borderId="30" xfId="0" applyFont="1" applyFill="1" applyBorder="1" applyProtection="1">
      <protection hidden="1"/>
    </xf>
    <xf numFmtId="0" fontId="43" fillId="2" borderId="3" xfId="0" applyFont="1" applyFill="1" applyBorder="1" applyAlignment="1" applyProtection="1">
      <alignment horizontal="center" vertical="center"/>
      <protection hidden="1"/>
    </xf>
    <xf numFmtId="170" fontId="43" fillId="2" borderId="3" xfId="0" applyNumberFormat="1" applyFont="1" applyFill="1" applyBorder="1" applyAlignment="1" applyProtection="1">
      <alignment horizontal="center" vertical="center"/>
      <protection hidden="1"/>
    </xf>
    <xf numFmtId="3" fontId="43" fillId="2" borderId="42" xfId="0" applyNumberFormat="1" applyFont="1" applyFill="1" applyBorder="1" applyAlignment="1" applyProtection="1">
      <alignment horizontal="center" vertical="center" wrapText="1"/>
      <protection hidden="1"/>
    </xf>
    <xf numFmtId="0" fontId="43" fillId="2" borderId="42" xfId="0" applyFont="1" applyFill="1" applyBorder="1" applyAlignment="1" applyProtection="1">
      <alignment horizontal="center" vertical="center"/>
      <protection hidden="1"/>
    </xf>
    <xf numFmtId="167" fontId="43" fillId="2" borderId="42" xfId="0" applyNumberFormat="1" applyFont="1" applyFill="1" applyBorder="1" applyAlignment="1" applyProtection="1">
      <alignment horizontal="center" vertical="center"/>
      <protection hidden="1"/>
    </xf>
    <xf numFmtId="170" fontId="43" fillId="2" borderId="42" xfId="0" applyNumberFormat="1" applyFont="1" applyFill="1" applyBorder="1" applyAlignment="1" applyProtection="1">
      <alignment horizontal="center" vertical="center"/>
      <protection hidden="1"/>
    </xf>
    <xf numFmtId="14" fontId="43" fillId="2" borderId="43" xfId="0" applyNumberFormat="1" applyFont="1" applyFill="1" applyBorder="1" applyAlignment="1" applyProtection="1">
      <alignment horizontal="center" vertical="center" wrapText="1"/>
      <protection hidden="1"/>
    </xf>
    <xf numFmtId="3" fontId="43" fillId="2" borderId="9" xfId="0" applyNumberFormat="1" applyFont="1" applyFill="1" applyBorder="1" applyAlignment="1" applyProtection="1">
      <alignment horizontal="center" vertical="center" wrapText="1"/>
      <protection hidden="1"/>
    </xf>
    <xf numFmtId="14" fontId="43" fillId="2" borderId="36" xfId="0" applyNumberFormat="1" applyFont="1" applyFill="1" applyBorder="1" applyAlignment="1" applyProtection="1">
      <alignment horizontal="center" vertical="center" wrapText="1"/>
      <protection hidden="1"/>
    </xf>
    <xf numFmtId="3" fontId="43" fillId="2" borderId="46" xfId="0" applyNumberFormat="1" applyFont="1" applyFill="1" applyBorder="1" applyAlignment="1" applyProtection="1">
      <alignment horizontal="center" vertical="center" wrapText="1"/>
      <protection hidden="1"/>
    </xf>
    <xf numFmtId="0" fontId="43" fillId="2" borderId="46" xfId="0" applyFont="1" applyFill="1" applyBorder="1" applyAlignment="1" applyProtection="1">
      <alignment horizontal="center" vertical="center"/>
      <protection hidden="1"/>
    </xf>
    <xf numFmtId="170" fontId="43" fillId="2" borderId="46" xfId="0" applyNumberFormat="1" applyFont="1" applyFill="1" applyBorder="1" applyAlignment="1" applyProtection="1">
      <alignment horizontal="center" vertical="center"/>
      <protection hidden="1"/>
    </xf>
    <xf numFmtId="0" fontId="43" fillId="2" borderId="39" xfId="0" applyFont="1" applyFill="1" applyBorder="1" applyAlignment="1" applyProtection="1">
      <alignment horizontal="center" vertical="center" wrapText="1"/>
      <protection hidden="1"/>
    </xf>
    <xf numFmtId="0" fontId="73" fillId="0" borderId="0" xfId="0" applyFont="1" applyBorder="1" applyAlignment="1" applyProtection="1">
      <alignment horizontal="center"/>
      <protection hidden="1"/>
    </xf>
    <xf numFmtId="0" fontId="43" fillId="2" borderId="10" xfId="0" applyFont="1" applyFill="1" applyBorder="1" applyAlignment="1" applyProtection="1">
      <alignment horizontal="center" vertical="center"/>
      <protection hidden="1"/>
    </xf>
    <xf numFmtId="0" fontId="73" fillId="2" borderId="0" xfId="0" applyFont="1" applyFill="1" applyBorder="1" applyProtection="1">
      <protection hidden="1"/>
    </xf>
    <xf numFmtId="0" fontId="43" fillId="2" borderId="0" xfId="0" applyFont="1" applyFill="1" applyBorder="1" applyAlignment="1" applyProtection="1">
      <alignment horizontal="center" vertical="center"/>
      <protection hidden="1"/>
    </xf>
    <xf numFmtId="170" fontId="43" fillId="2" borderId="0" xfId="0" applyNumberFormat="1" applyFont="1" applyFill="1" applyBorder="1" applyAlignment="1" applyProtection="1">
      <alignment horizontal="center" vertical="center"/>
      <protection hidden="1"/>
    </xf>
    <xf numFmtId="0" fontId="43" fillId="2" borderId="51" xfId="0" applyFont="1" applyFill="1" applyBorder="1" applyProtection="1">
      <protection hidden="1"/>
    </xf>
    <xf numFmtId="0" fontId="79" fillId="2" borderId="39" xfId="0" applyFont="1" applyFill="1" applyBorder="1" applyAlignment="1" applyProtection="1">
      <alignment horizontal="center" vertical="center" wrapText="1"/>
      <protection hidden="1"/>
    </xf>
    <xf numFmtId="0" fontId="73" fillId="2" borderId="10" xfId="0" applyFont="1" applyFill="1" applyBorder="1" applyProtection="1">
      <protection hidden="1"/>
    </xf>
    <xf numFmtId="0" fontId="43" fillId="2" borderId="49" xfId="0" applyFont="1" applyFill="1" applyBorder="1" applyAlignment="1" applyProtection="1">
      <alignment horizontal="center" vertical="center"/>
      <protection hidden="1"/>
    </xf>
    <xf numFmtId="0" fontId="73" fillId="2" borderId="5" xfId="0" applyFont="1" applyFill="1" applyBorder="1" applyProtection="1">
      <protection hidden="1"/>
    </xf>
    <xf numFmtId="3" fontId="43" fillId="2" borderId="41" xfId="0" applyNumberFormat="1" applyFont="1" applyFill="1" applyBorder="1" applyAlignment="1" applyProtection="1">
      <alignment horizontal="center" vertical="center" wrapText="1"/>
      <protection hidden="1"/>
    </xf>
    <xf numFmtId="3" fontId="43" fillId="2" borderId="34" xfId="0" applyNumberFormat="1" applyFont="1" applyFill="1" applyBorder="1" applyAlignment="1" applyProtection="1">
      <alignment horizontal="center" vertical="center" wrapText="1"/>
      <protection hidden="1"/>
    </xf>
    <xf numFmtId="3" fontId="43" fillId="2" borderId="45" xfId="0" applyNumberFormat="1" applyFont="1" applyFill="1" applyBorder="1" applyAlignment="1" applyProtection="1">
      <alignment horizontal="center" vertical="center" wrapText="1"/>
      <protection hidden="1"/>
    </xf>
    <xf numFmtId="14" fontId="43" fillId="2" borderId="39" xfId="0" applyNumberFormat="1" applyFont="1" applyFill="1" applyBorder="1" applyAlignment="1" applyProtection="1">
      <alignment horizontal="center" vertical="center" wrapText="1"/>
      <protection hidden="1"/>
    </xf>
    <xf numFmtId="0" fontId="43" fillId="0" borderId="53" xfId="0" applyFont="1" applyBorder="1" applyAlignment="1" applyProtection="1">
      <alignment horizontal="center" vertical="center"/>
      <protection hidden="1"/>
    </xf>
    <xf numFmtId="0" fontId="73" fillId="0" borderId="25" xfId="0" applyFont="1" applyBorder="1" applyProtection="1">
      <protection hidden="1"/>
    </xf>
    <xf numFmtId="0" fontId="43" fillId="0" borderId="26" xfId="0" applyFont="1" applyBorder="1" applyAlignment="1" applyProtection="1">
      <alignment horizontal="center" vertical="center"/>
      <protection hidden="1"/>
    </xf>
    <xf numFmtId="170" fontId="43" fillId="0" borderId="26" xfId="0" applyNumberFormat="1" applyFont="1" applyBorder="1" applyAlignment="1" applyProtection="1">
      <alignment horizontal="center" vertical="center"/>
      <protection hidden="1"/>
    </xf>
    <xf numFmtId="0" fontId="73" fillId="2" borderId="42" xfId="0" applyFont="1" applyFill="1" applyBorder="1" applyAlignment="1" applyProtection="1">
      <alignment horizontal="center"/>
      <protection hidden="1"/>
    </xf>
    <xf numFmtId="166" fontId="43" fillId="2" borderId="42" xfId="0" applyNumberFormat="1" applyFont="1" applyFill="1" applyBorder="1" applyAlignment="1" applyProtection="1">
      <alignment horizontal="center" vertical="center"/>
      <protection hidden="1"/>
    </xf>
    <xf numFmtId="14" fontId="43" fillId="2" borderId="43" xfId="0" applyNumberFormat="1" applyFont="1" applyFill="1" applyBorder="1" applyAlignment="1">
      <alignment horizontal="center" vertical="center" wrapText="1"/>
    </xf>
    <xf numFmtId="0" fontId="43" fillId="0" borderId="34" xfId="0" applyFont="1" applyBorder="1" applyAlignment="1" applyProtection="1">
      <alignment horizontal="center" vertical="center"/>
      <protection hidden="1"/>
    </xf>
    <xf numFmtId="0" fontId="73" fillId="2" borderId="9" xfId="0" applyFont="1" applyFill="1" applyBorder="1" applyAlignment="1" applyProtection="1">
      <alignment horizontal="center"/>
      <protection hidden="1"/>
    </xf>
    <xf numFmtId="14" fontId="43" fillId="2" borderId="36" xfId="0" applyNumberFormat="1" applyFont="1" applyFill="1" applyBorder="1" applyAlignment="1">
      <alignment horizontal="center" vertical="center" wrapText="1"/>
    </xf>
    <xf numFmtId="0" fontId="43" fillId="0" borderId="45" xfId="0" applyFont="1" applyBorder="1" applyAlignment="1" applyProtection="1">
      <alignment horizontal="center" vertical="center"/>
      <protection hidden="1"/>
    </xf>
    <xf numFmtId="0" fontId="73" fillId="2" borderId="46" xfId="0" applyFont="1" applyFill="1" applyBorder="1" applyAlignment="1" applyProtection="1">
      <alignment horizontal="center"/>
      <protection hidden="1"/>
    </xf>
    <xf numFmtId="0" fontId="43" fillId="2" borderId="46" xfId="0" applyFont="1" applyFill="1" applyBorder="1" applyAlignment="1" applyProtection="1">
      <alignment horizontal="center" vertical="center" wrapText="1"/>
      <protection hidden="1"/>
    </xf>
    <xf numFmtId="167" fontId="43" fillId="2" borderId="46" xfId="0" applyNumberFormat="1" applyFont="1" applyFill="1" applyBorder="1" applyAlignment="1" applyProtection="1">
      <alignment horizontal="center" vertical="center"/>
      <protection hidden="1"/>
    </xf>
    <xf numFmtId="14" fontId="43" fillId="2" borderId="39" xfId="0" applyNumberFormat="1" applyFont="1" applyFill="1" applyBorder="1" applyAlignment="1">
      <alignment horizontal="center" vertical="center" wrapText="1"/>
    </xf>
    <xf numFmtId="0" fontId="73" fillId="0" borderId="30" xfId="0" applyFont="1" applyBorder="1" applyProtection="1">
      <protection hidden="1"/>
    </xf>
    <xf numFmtId="170" fontId="43" fillId="0" borderId="3" xfId="0" applyNumberFormat="1" applyFont="1" applyBorder="1" applyAlignment="1" applyProtection="1">
      <alignment horizontal="center" vertical="center"/>
      <protection hidden="1"/>
    </xf>
    <xf numFmtId="2" fontId="43" fillId="2" borderId="42" xfId="0" applyNumberFormat="1" applyFont="1" applyFill="1" applyBorder="1" applyAlignment="1" applyProtection="1">
      <alignment horizontal="center" vertical="center"/>
      <protection hidden="1"/>
    </xf>
    <xf numFmtId="0" fontId="43" fillId="2" borderId="36" xfId="0" applyFont="1" applyFill="1" applyBorder="1" applyAlignment="1">
      <alignment horizontal="center" vertical="center" wrapText="1"/>
    </xf>
    <xf numFmtId="0" fontId="43" fillId="2" borderId="39" xfId="0" applyFont="1" applyFill="1" applyBorder="1" applyAlignment="1">
      <alignment horizontal="center" vertical="center" wrapText="1"/>
    </xf>
    <xf numFmtId="0" fontId="43" fillId="0" borderId="16" xfId="0" applyFont="1" applyBorder="1" applyAlignment="1" applyProtection="1">
      <alignment horizontal="center" vertical="center"/>
      <protection hidden="1"/>
    </xf>
    <xf numFmtId="0" fontId="73" fillId="0" borderId="29" xfId="0" applyFont="1" applyBorder="1" applyAlignment="1" applyProtection="1">
      <alignment vertical="center"/>
      <protection hidden="1"/>
    </xf>
    <xf numFmtId="0" fontId="43" fillId="0" borderId="21" xfId="0" applyFont="1" applyBorder="1" applyAlignment="1" applyProtection="1">
      <alignment horizontal="center" vertical="center"/>
      <protection hidden="1"/>
    </xf>
    <xf numFmtId="0" fontId="73" fillId="2" borderId="22" xfId="0" applyFont="1" applyFill="1" applyBorder="1" applyAlignment="1" applyProtection="1">
      <alignment vertical="center"/>
      <protection hidden="1"/>
    </xf>
    <xf numFmtId="0" fontId="43" fillId="2" borderId="22" xfId="0" applyFont="1" applyFill="1" applyBorder="1" applyAlignment="1" applyProtection="1">
      <alignment horizontal="center" vertical="center" wrapText="1"/>
      <protection hidden="1"/>
    </xf>
    <xf numFmtId="0" fontId="43" fillId="2" borderId="22" xfId="0" applyFont="1" applyFill="1" applyBorder="1" applyAlignment="1" applyProtection="1">
      <alignment horizontal="center" vertical="center"/>
      <protection hidden="1"/>
    </xf>
    <xf numFmtId="170" fontId="43" fillId="2" borderId="29" xfId="0" applyNumberFormat="1" applyFont="1" applyFill="1" applyBorder="1" applyAlignment="1" applyProtection="1">
      <alignment horizontal="center" vertical="center"/>
      <protection hidden="1"/>
    </xf>
    <xf numFmtId="14" fontId="43" fillId="2" borderId="1" xfId="0" applyNumberFormat="1" applyFont="1" applyFill="1" applyBorder="1" applyAlignment="1">
      <alignment vertical="center" wrapText="1"/>
    </xf>
    <xf numFmtId="0" fontId="43" fillId="0" borderId="0" xfId="0" applyFont="1" applyBorder="1" applyAlignment="1" applyProtection="1">
      <alignment vertical="center" textRotation="90"/>
      <protection hidden="1"/>
    </xf>
    <xf numFmtId="0" fontId="73" fillId="0" borderId="0" xfId="0" applyFont="1" applyBorder="1" applyAlignment="1" applyProtection="1">
      <alignment vertical="center"/>
      <protection hidden="1"/>
    </xf>
    <xf numFmtId="170" fontId="43" fillId="0" borderId="0" xfId="0" applyNumberFormat="1" applyFont="1" applyBorder="1" applyAlignment="1" applyProtection="1">
      <alignment horizontal="center" vertical="center"/>
      <protection hidden="1"/>
    </xf>
    <xf numFmtId="14" fontId="43" fillId="0" borderId="0" xfId="0" applyNumberFormat="1" applyFont="1" applyBorder="1" applyAlignment="1" applyProtection="1">
      <alignment horizontal="center" vertical="center"/>
      <protection hidden="1"/>
    </xf>
    <xf numFmtId="0" fontId="22" fillId="5" borderId="19" xfId="0" applyFont="1" applyFill="1" applyBorder="1" applyAlignment="1" applyProtection="1">
      <alignment horizontal="center" vertical="center" wrapText="1"/>
      <protection hidden="1"/>
    </xf>
    <xf numFmtId="0" fontId="22" fillId="5" borderId="21" xfId="0" applyFont="1" applyFill="1" applyBorder="1" applyAlignment="1" applyProtection="1">
      <alignment horizontal="center" vertical="center" wrapText="1"/>
      <protection hidden="1"/>
    </xf>
    <xf numFmtId="0" fontId="22" fillId="5" borderId="22" xfId="0" applyFont="1" applyFill="1" applyBorder="1" applyAlignment="1" applyProtection="1">
      <alignment horizontal="center" vertical="center" wrapText="1"/>
      <protection hidden="1"/>
    </xf>
    <xf numFmtId="170" fontId="22" fillId="5" borderId="20" xfId="0" applyNumberFormat="1" applyFont="1" applyFill="1" applyBorder="1" applyAlignment="1" applyProtection="1">
      <alignment horizontal="center" vertical="center" wrapText="1"/>
      <protection hidden="1"/>
    </xf>
    <xf numFmtId="0" fontId="22" fillId="5" borderId="20" xfId="0" applyFont="1" applyFill="1" applyBorder="1" applyAlignment="1" applyProtection="1">
      <alignment horizontal="center" vertical="center" wrapText="1"/>
      <protection hidden="1"/>
    </xf>
    <xf numFmtId="0" fontId="43" fillId="2" borderId="42" xfId="0" applyFont="1" applyFill="1" applyBorder="1" applyAlignment="1">
      <alignment horizontal="center" vertical="center" wrapText="1"/>
    </xf>
    <xf numFmtId="165" fontId="43" fillId="2" borderId="42" xfId="0" applyNumberFormat="1" applyFont="1" applyFill="1" applyBorder="1" applyAlignment="1">
      <alignment horizontal="center" vertical="center" wrapText="1"/>
    </xf>
    <xf numFmtId="167" fontId="43" fillId="2" borderId="42" xfId="0" applyNumberFormat="1" applyFont="1" applyFill="1" applyBorder="1" applyAlignment="1">
      <alignment horizontal="center" vertical="center" wrapText="1"/>
    </xf>
    <xf numFmtId="14" fontId="43" fillId="0" borderId="43" xfId="0" applyNumberFormat="1" applyFont="1" applyBorder="1" applyAlignment="1" applyProtection="1">
      <alignment horizontal="center" vertical="center"/>
      <protection hidden="1"/>
    </xf>
    <xf numFmtId="0" fontId="43" fillId="2" borderId="9" xfId="0" applyFont="1" applyFill="1" applyBorder="1" applyAlignment="1">
      <alignment horizontal="center" vertical="center" wrapText="1"/>
    </xf>
    <xf numFmtId="165" fontId="43" fillId="2" borderId="9" xfId="0" applyNumberFormat="1" applyFont="1" applyFill="1" applyBorder="1" applyAlignment="1">
      <alignment horizontal="center" vertical="center" wrapText="1"/>
    </xf>
    <xf numFmtId="167" fontId="43" fillId="2" borderId="9" xfId="0" applyNumberFormat="1" applyFont="1" applyFill="1" applyBorder="1" applyAlignment="1">
      <alignment horizontal="center" vertical="center" wrapText="1"/>
    </xf>
    <xf numFmtId="2" fontId="43" fillId="2" borderId="9" xfId="0" applyNumberFormat="1" applyFont="1" applyFill="1" applyBorder="1" applyAlignment="1">
      <alignment horizontal="center" vertical="center" wrapText="1"/>
    </xf>
    <xf numFmtId="166" fontId="43" fillId="2" borderId="9" xfId="0" applyNumberFormat="1" applyFont="1" applyFill="1" applyBorder="1" applyAlignment="1">
      <alignment horizontal="center" vertical="center" wrapText="1"/>
    </xf>
    <xf numFmtId="2" fontId="43" fillId="2" borderId="46" xfId="0" applyNumberFormat="1" applyFont="1" applyFill="1" applyBorder="1" applyAlignment="1">
      <alignment horizontal="center" vertical="center" wrapText="1"/>
    </xf>
    <xf numFmtId="0" fontId="43" fillId="2" borderId="46" xfId="0" applyFont="1" applyFill="1" applyBorder="1" applyAlignment="1">
      <alignment horizontal="center" vertical="center" wrapText="1"/>
    </xf>
    <xf numFmtId="165" fontId="43" fillId="2" borderId="46" xfId="0" applyNumberFormat="1" applyFont="1" applyFill="1" applyBorder="1" applyAlignment="1">
      <alignment horizontal="center" vertical="center" wrapText="1"/>
    </xf>
    <xf numFmtId="167" fontId="43" fillId="2" borderId="46" xfId="0" applyNumberFormat="1" applyFont="1" applyFill="1" applyBorder="1" applyAlignment="1">
      <alignment horizontal="center" vertical="center" wrapText="1"/>
    </xf>
    <xf numFmtId="14" fontId="43" fillId="0" borderId="39" xfId="0" applyNumberFormat="1" applyFont="1" applyBorder="1" applyAlignment="1" applyProtection="1">
      <alignment horizontal="center" vertical="center"/>
      <protection hidden="1"/>
    </xf>
    <xf numFmtId="0" fontId="73" fillId="0" borderId="0" xfId="0" applyFont="1" applyBorder="1" applyAlignment="1" applyProtection="1">
      <alignment horizontal="center" vertical="center"/>
      <protection hidden="1"/>
    </xf>
    <xf numFmtId="0" fontId="73" fillId="0" borderId="24" xfId="0" applyFont="1" applyBorder="1" applyProtection="1">
      <protection hidden="1"/>
    </xf>
    <xf numFmtId="2" fontId="43" fillId="2" borderId="0" xfId="0" applyNumberFormat="1" applyFont="1" applyFill="1" applyBorder="1" applyAlignment="1" applyProtection="1">
      <alignment horizontal="center" vertical="center"/>
      <protection hidden="1"/>
    </xf>
    <xf numFmtId="0" fontId="43" fillId="0" borderId="51" xfId="0" applyFont="1" applyBorder="1" applyProtection="1">
      <protection hidden="1"/>
    </xf>
    <xf numFmtId="2" fontId="43" fillId="2" borderId="42" xfId="0" applyNumberFormat="1" applyFont="1" applyFill="1" applyBorder="1" applyAlignment="1">
      <alignment horizontal="center" vertical="center" wrapText="1"/>
    </xf>
    <xf numFmtId="14" fontId="43" fillId="2" borderId="43" xfId="0" applyNumberFormat="1" applyFont="1" applyFill="1" applyBorder="1" applyAlignment="1" applyProtection="1">
      <alignment horizontal="center" vertical="center"/>
      <protection hidden="1"/>
    </xf>
    <xf numFmtId="14" fontId="43" fillId="2" borderId="36" xfId="0" applyNumberFormat="1" applyFont="1" applyFill="1" applyBorder="1" applyAlignment="1" applyProtection="1">
      <alignment horizontal="center" vertical="center"/>
      <protection hidden="1"/>
    </xf>
    <xf numFmtId="14" fontId="43" fillId="2" borderId="39" xfId="0" applyNumberFormat="1" applyFont="1" applyFill="1" applyBorder="1" applyAlignment="1" applyProtection="1">
      <alignment horizontal="center" vertical="center"/>
      <protection hidden="1"/>
    </xf>
    <xf numFmtId="0" fontId="22" fillId="5" borderId="68" xfId="0" applyFont="1" applyFill="1" applyBorder="1" applyAlignment="1" applyProtection="1">
      <alignment horizontal="center" vertical="center" wrapText="1"/>
      <protection hidden="1"/>
    </xf>
    <xf numFmtId="0" fontId="73" fillId="0" borderId="41" xfId="0" applyFont="1" applyBorder="1" applyProtection="1">
      <protection hidden="1"/>
    </xf>
    <xf numFmtId="0" fontId="20" fillId="0" borderId="46" xfId="0" applyFont="1" applyBorder="1" applyAlignment="1" applyProtection="1">
      <alignment horizontal="center" vertical="center"/>
      <protection hidden="1"/>
    </xf>
    <xf numFmtId="0" fontId="22" fillId="2" borderId="46" xfId="0" applyFont="1" applyFill="1" applyBorder="1" applyAlignment="1" applyProtection="1">
      <alignment horizontal="center" vertical="center" wrapText="1"/>
      <protection hidden="1"/>
    </xf>
    <xf numFmtId="166" fontId="22" fillId="2" borderId="46" xfId="0" applyNumberFormat="1" applyFont="1" applyFill="1" applyBorder="1" applyAlignment="1">
      <alignment horizontal="center" vertical="center" wrapText="1"/>
    </xf>
    <xf numFmtId="0" fontId="22" fillId="2" borderId="46" xfId="0" applyFont="1" applyFill="1" applyBorder="1" applyAlignment="1">
      <alignment horizontal="center" vertical="center" wrapText="1"/>
    </xf>
    <xf numFmtId="170" fontId="22" fillId="2" borderId="46" xfId="0" applyNumberFormat="1" applyFont="1" applyFill="1" applyBorder="1" applyAlignment="1">
      <alignment horizontal="center" vertical="center" wrapText="1"/>
    </xf>
    <xf numFmtId="14" fontId="22" fillId="2" borderId="39" xfId="0" applyNumberFormat="1" applyFont="1" applyFill="1" applyBorder="1" applyAlignment="1">
      <alignment horizontal="center" vertical="center" wrapText="1"/>
    </xf>
    <xf numFmtId="0" fontId="43" fillId="2" borderId="0" xfId="0" applyFont="1" applyFill="1" applyBorder="1" applyProtection="1">
      <protection hidden="1"/>
    </xf>
    <xf numFmtId="0" fontId="73" fillId="0" borderId="49" xfId="0" applyFont="1" applyBorder="1" applyProtection="1">
      <protection hidden="1"/>
    </xf>
    <xf numFmtId="0" fontId="43" fillId="0" borderId="5" xfId="0" applyFont="1" applyBorder="1" applyAlignment="1" applyProtection="1">
      <alignment vertical="center" textRotation="90" wrapText="1"/>
      <protection hidden="1"/>
    </xf>
    <xf numFmtId="0" fontId="43" fillId="0" borderId="5" xfId="0" applyFont="1" applyBorder="1" applyAlignment="1" applyProtection="1">
      <alignment horizontal="center" vertical="center"/>
      <protection hidden="1"/>
    </xf>
    <xf numFmtId="0" fontId="73" fillId="0" borderId="5" xfId="0" applyFont="1" applyBorder="1" applyAlignment="1" applyProtection="1">
      <alignment vertical="center"/>
      <protection hidden="1"/>
    </xf>
    <xf numFmtId="0" fontId="43" fillId="2" borderId="5" xfId="0" applyFont="1" applyFill="1" applyBorder="1" applyAlignment="1" applyProtection="1">
      <alignment horizontal="center" vertical="center"/>
      <protection hidden="1"/>
    </xf>
    <xf numFmtId="170" fontId="43" fillId="2" borderId="5" xfId="0" applyNumberFormat="1" applyFont="1" applyFill="1" applyBorder="1" applyAlignment="1" applyProtection="1">
      <alignment horizontal="center" vertical="center"/>
      <protection hidden="1"/>
    </xf>
    <xf numFmtId="14" fontId="43" fillId="2" borderId="5" xfId="0" applyNumberFormat="1" applyFont="1" applyFill="1" applyBorder="1" applyAlignment="1" applyProtection="1">
      <alignment horizontal="center" vertical="center"/>
      <protection hidden="1"/>
    </xf>
    <xf numFmtId="0" fontId="43" fillId="2" borderId="5" xfId="0" applyFont="1" applyFill="1" applyBorder="1" applyProtection="1">
      <protection hidden="1"/>
    </xf>
    <xf numFmtId="0" fontId="73" fillId="0" borderId="40" xfId="0" applyFont="1" applyFill="1" applyBorder="1" applyProtection="1">
      <protection hidden="1"/>
    </xf>
    <xf numFmtId="0" fontId="7" fillId="5" borderId="18" xfId="0" applyFont="1" applyFill="1" applyBorder="1" applyAlignment="1" applyProtection="1">
      <alignment horizontal="center" vertical="center" wrapText="1"/>
      <protection hidden="1"/>
    </xf>
    <xf numFmtId="166" fontId="24" fillId="15" borderId="39" xfId="0" applyNumberFormat="1" applyFont="1" applyFill="1" applyBorder="1" applyAlignment="1" applyProtection="1">
      <alignment horizontal="center" vertical="center" wrapText="1"/>
      <protection hidden="1"/>
    </xf>
    <xf numFmtId="166" fontId="24" fillId="15" borderId="57" xfId="0" applyNumberFormat="1" applyFont="1" applyFill="1" applyBorder="1" applyAlignment="1" applyProtection="1">
      <alignment horizontal="center" vertical="center" wrapText="1"/>
      <protection hidden="1"/>
    </xf>
    <xf numFmtId="2" fontId="5" fillId="7" borderId="50" xfId="0" applyNumberFormat="1" applyFont="1" applyFill="1" applyBorder="1" applyAlignment="1" applyProtection="1">
      <alignment horizontal="center" vertical="center" wrapText="1"/>
      <protection hidden="1"/>
    </xf>
    <xf numFmtId="167" fontId="5" fillId="7" borderId="42" xfId="0" applyNumberFormat="1" applyFont="1" applyFill="1" applyBorder="1" applyAlignment="1" applyProtection="1">
      <alignment horizontal="center" vertical="center" wrapText="1"/>
      <protection hidden="1"/>
    </xf>
    <xf numFmtId="165" fontId="5" fillId="7" borderId="59" xfId="0" applyNumberFormat="1" applyFont="1" applyFill="1" applyBorder="1" applyAlignment="1" applyProtection="1">
      <alignment horizontal="center" vertical="center" wrapText="1"/>
      <protection hidden="1"/>
    </xf>
    <xf numFmtId="164" fontId="5" fillId="7" borderId="46" xfId="0" applyNumberFormat="1" applyFont="1" applyFill="1" applyBorder="1" applyAlignment="1" applyProtection="1">
      <alignment horizontal="center" vertical="center" wrapText="1"/>
      <protection hidden="1"/>
    </xf>
    <xf numFmtId="165" fontId="5" fillId="7" borderId="46" xfId="0" applyNumberFormat="1" applyFont="1" applyFill="1" applyBorder="1" applyAlignment="1" applyProtection="1">
      <alignment horizontal="center" vertical="center" wrapText="1"/>
      <protection hidden="1"/>
    </xf>
    <xf numFmtId="169" fontId="5" fillId="7" borderId="39" xfId="0" applyNumberFormat="1" applyFont="1" applyFill="1" applyBorder="1" applyAlignment="1" applyProtection="1">
      <alignment horizontal="center" vertical="center" wrapText="1"/>
      <protection hidden="1"/>
    </xf>
    <xf numFmtId="0" fontId="28" fillId="5" borderId="9" xfId="0" applyFont="1" applyFill="1" applyBorder="1" applyAlignment="1" applyProtection="1">
      <alignment horizontal="center" vertical="center" wrapText="1"/>
      <protection hidden="1"/>
    </xf>
    <xf numFmtId="0" fontId="29" fillId="5" borderId="9" xfId="0" applyFont="1" applyFill="1" applyBorder="1" applyAlignment="1" applyProtection="1">
      <alignment horizontal="center" vertical="center" wrapText="1"/>
      <protection hidden="1"/>
    </xf>
    <xf numFmtId="0" fontId="28" fillId="5" borderId="18" xfId="0" applyFont="1" applyFill="1" applyBorder="1" applyAlignment="1" applyProtection="1">
      <alignment horizontal="center" vertical="center" wrapText="1"/>
      <protection hidden="1"/>
    </xf>
    <xf numFmtId="0" fontId="29" fillId="5" borderId="18" xfId="0" applyFont="1" applyFill="1" applyBorder="1" applyAlignment="1" applyProtection="1">
      <alignment horizontal="center" vertical="center" wrapText="1"/>
      <protection hidden="1"/>
    </xf>
    <xf numFmtId="0" fontId="82" fillId="2" borderId="23" xfId="0" applyFont="1" applyFill="1" applyBorder="1" applyAlignment="1" applyProtection="1">
      <alignment horizontal="center" vertical="center" wrapText="1"/>
      <protection hidden="1"/>
    </xf>
    <xf numFmtId="0" fontId="41" fillId="2" borderId="30" xfId="0" applyFont="1" applyFill="1" applyBorder="1" applyAlignment="1" applyProtection="1">
      <alignment horizontal="center" vertical="center" wrapText="1"/>
      <protection hidden="1"/>
    </xf>
    <xf numFmtId="0" fontId="41" fillId="2" borderId="3" xfId="0" applyFont="1" applyFill="1" applyBorder="1" applyAlignment="1" applyProtection="1">
      <alignment horizontal="center" vertical="center" wrapText="1"/>
      <protection hidden="1"/>
    </xf>
    <xf numFmtId="0" fontId="83" fillId="2" borderId="24" xfId="0" applyFont="1" applyFill="1" applyBorder="1" applyAlignment="1" applyProtection="1">
      <alignment horizontal="center" vertical="center" wrapText="1"/>
      <protection hidden="1"/>
    </xf>
    <xf numFmtId="0" fontId="41" fillId="2" borderId="24" xfId="0" applyFont="1" applyFill="1" applyBorder="1" applyAlignment="1" applyProtection="1">
      <alignment horizontal="center" vertical="center" wrapText="1"/>
      <protection hidden="1"/>
    </xf>
    <xf numFmtId="0" fontId="41" fillId="2" borderId="23" xfId="0" applyFont="1" applyFill="1" applyBorder="1" applyAlignment="1" applyProtection="1">
      <alignment horizontal="center" vertical="center" wrapText="1"/>
      <protection hidden="1"/>
    </xf>
    <xf numFmtId="0" fontId="77" fillId="13" borderId="9" xfId="0" applyFont="1" applyFill="1" applyBorder="1" applyAlignment="1" applyProtection="1">
      <alignment horizontal="center" vertical="center" wrapText="1"/>
      <protection hidden="1"/>
    </xf>
    <xf numFmtId="0" fontId="77" fillId="17" borderId="43" xfId="0" applyFont="1" applyFill="1" applyBorder="1" applyAlignment="1" applyProtection="1">
      <alignment horizontal="center" vertical="center" wrapText="1"/>
      <protection hidden="1"/>
    </xf>
    <xf numFmtId="169" fontId="87" fillId="5" borderId="35" xfId="0" applyNumberFormat="1" applyFont="1" applyFill="1" applyBorder="1" applyAlignment="1" applyProtection="1">
      <alignment horizontal="center" vertical="center"/>
      <protection hidden="1"/>
    </xf>
    <xf numFmtId="169" fontId="87" fillId="2" borderId="35" xfId="0" applyNumberFormat="1" applyFont="1" applyFill="1" applyBorder="1" applyAlignment="1" applyProtection="1">
      <alignment vertical="center"/>
      <protection hidden="1"/>
    </xf>
    <xf numFmtId="169" fontId="87" fillId="2" borderId="35" xfId="0" applyNumberFormat="1" applyFont="1" applyFill="1" applyBorder="1" applyAlignment="1" applyProtection="1">
      <alignment vertical="center" wrapText="1"/>
      <protection hidden="1"/>
    </xf>
    <xf numFmtId="169" fontId="43" fillId="2" borderId="35" xfId="0" applyNumberFormat="1" applyFont="1" applyFill="1" applyBorder="1" applyAlignment="1" applyProtection="1">
      <alignment vertical="center" wrapText="1"/>
      <protection hidden="1"/>
    </xf>
    <xf numFmtId="14" fontId="77" fillId="5" borderId="9" xfId="0" applyNumberFormat="1" applyFont="1" applyFill="1" applyBorder="1" applyAlignment="1" applyProtection="1">
      <alignment horizontal="center" vertical="center" wrapText="1"/>
      <protection hidden="1"/>
    </xf>
    <xf numFmtId="14" fontId="87" fillId="5" borderId="9" xfId="0" applyNumberFormat="1" applyFont="1" applyFill="1" applyBorder="1" applyAlignment="1" applyProtection="1">
      <alignment horizontal="center" vertical="center" wrapText="1"/>
      <protection hidden="1"/>
    </xf>
    <xf numFmtId="0" fontId="87" fillId="5" borderId="9" xfId="0" applyFont="1" applyFill="1" applyBorder="1" applyAlignment="1" applyProtection="1">
      <alignment horizontal="center" vertical="center" wrapText="1"/>
      <protection hidden="1"/>
    </xf>
    <xf numFmtId="168" fontId="77" fillId="7" borderId="9" xfId="0" applyNumberFormat="1" applyFont="1" applyFill="1" applyBorder="1" applyAlignment="1" applyProtection="1">
      <alignment horizontal="center" vertical="center" wrapText="1"/>
      <protection hidden="1"/>
    </xf>
    <xf numFmtId="0" fontId="77" fillId="5" borderId="9" xfId="0" applyFont="1" applyFill="1" applyBorder="1" applyAlignment="1" applyProtection="1">
      <alignment horizontal="center" vertical="center" wrapText="1"/>
      <protection hidden="1"/>
    </xf>
    <xf numFmtId="0" fontId="77" fillId="7" borderId="9" xfId="0" applyFont="1" applyFill="1" applyBorder="1" applyAlignment="1" applyProtection="1">
      <alignment horizontal="center" vertical="center" wrapText="1"/>
      <protection hidden="1"/>
    </xf>
    <xf numFmtId="0" fontId="77" fillId="7" borderId="46" xfId="0" applyFont="1" applyFill="1" applyBorder="1" applyAlignment="1" applyProtection="1">
      <alignment horizontal="center" vertical="center" wrapText="1"/>
      <protection hidden="1"/>
    </xf>
    <xf numFmtId="0" fontId="43" fillId="0" borderId="9" xfId="0" applyFont="1" applyFill="1" applyBorder="1" applyAlignment="1" applyProtection="1">
      <alignment horizontal="center" vertical="center"/>
      <protection hidden="1"/>
    </xf>
    <xf numFmtId="0" fontId="43" fillId="0" borderId="36" xfId="0" applyFont="1" applyFill="1" applyBorder="1" applyAlignment="1" applyProtection="1">
      <alignment horizontal="center" vertical="center"/>
      <protection hidden="1"/>
    </xf>
    <xf numFmtId="0" fontId="43" fillId="0" borderId="46" xfId="0" applyFont="1" applyFill="1" applyBorder="1" applyAlignment="1" applyProtection="1">
      <alignment horizontal="center" vertical="center"/>
      <protection hidden="1"/>
    </xf>
    <xf numFmtId="0" fontId="43" fillId="0" borderId="39" xfId="0" applyFont="1" applyFill="1" applyBorder="1" applyAlignment="1" applyProtection="1">
      <alignment horizontal="center" vertical="center"/>
      <protection hidden="1"/>
    </xf>
    <xf numFmtId="0" fontId="73" fillId="2" borderId="42" xfId="0" applyFont="1" applyFill="1" applyBorder="1" applyAlignment="1" applyProtection="1">
      <alignment horizontal="center" vertical="center"/>
      <protection hidden="1"/>
    </xf>
    <xf numFmtId="0" fontId="73" fillId="2" borderId="9" xfId="0" applyFont="1" applyFill="1" applyBorder="1" applyAlignment="1" applyProtection="1">
      <alignment horizontal="center" vertical="center"/>
      <protection hidden="1"/>
    </xf>
    <xf numFmtId="0" fontId="73" fillId="2" borderId="46" xfId="0" applyFont="1" applyFill="1" applyBorder="1" applyAlignment="1" applyProtection="1">
      <alignment horizontal="center" vertical="center"/>
      <protection hidden="1"/>
    </xf>
    <xf numFmtId="0" fontId="43" fillId="2" borderId="0" xfId="0" applyFont="1" applyFill="1" applyBorder="1" applyAlignment="1" applyProtection="1">
      <alignment horizontal="center" vertical="center" wrapText="1"/>
      <protection hidden="1"/>
    </xf>
    <xf numFmtId="0" fontId="7" fillId="17" borderId="42" xfId="0" applyFont="1" applyFill="1" applyBorder="1" applyAlignment="1" applyProtection="1">
      <alignment horizontal="center" vertical="center" wrapText="1"/>
      <protection hidden="1"/>
    </xf>
    <xf numFmtId="0" fontId="43" fillId="15" borderId="42" xfId="0" applyFont="1" applyFill="1" applyBorder="1" applyAlignment="1" applyProtection="1">
      <alignment horizontal="center" vertical="center"/>
      <protection hidden="1"/>
    </xf>
    <xf numFmtId="167" fontId="43" fillId="15" borderId="42" xfId="0" applyNumberFormat="1" applyFont="1" applyFill="1" applyBorder="1" applyAlignment="1" applyProtection="1">
      <alignment horizontal="center" vertical="center"/>
      <protection hidden="1"/>
    </xf>
    <xf numFmtId="0" fontId="43" fillId="15" borderId="9" xfId="0" applyFont="1" applyFill="1" applyBorder="1" applyAlignment="1" applyProtection="1">
      <alignment horizontal="center" vertical="center"/>
      <protection hidden="1"/>
    </xf>
    <xf numFmtId="167" fontId="43" fillId="15" borderId="18" xfId="0" applyNumberFormat="1" applyFont="1" applyFill="1" applyBorder="1" applyAlignment="1" applyProtection="1">
      <alignment horizontal="center" vertical="center"/>
      <protection hidden="1"/>
    </xf>
    <xf numFmtId="167" fontId="43" fillId="15" borderId="9" xfId="0" applyNumberFormat="1" applyFont="1" applyFill="1" applyBorder="1" applyAlignment="1" applyProtection="1">
      <alignment horizontal="center" vertical="center"/>
      <protection hidden="1"/>
    </xf>
    <xf numFmtId="0" fontId="73" fillId="2" borderId="3" xfId="0" applyFont="1" applyFill="1" applyBorder="1" applyProtection="1">
      <protection hidden="1"/>
    </xf>
    <xf numFmtId="0" fontId="73" fillId="2" borderId="6" xfId="0" applyFont="1" applyFill="1" applyBorder="1" applyProtection="1">
      <protection hidden="1"/>
    </xf>
    <xf numFmtId="0" fontId="73" fillId="2" borderId="7" xfId="0" applyFont="1" applyFill="1" applyBorder="1" applyProtection="1">
      <protection hidden="1"/>
    </xf>
    <xf numFmtId="0" fontId="43" fillId="2" borderId="7" xfId="0" applyFont="1" applyFill="1" applyBorder="1" applyAlignment="1" applyProtection="1">
      <alignment horizontal="center" vertical="center"/>
      <protection hidden="1"/>
    </xf>
    <xf numFmtId="170" fontId="43" fillId="2" borderId="7" xfId="0" applyNumberFormat="1" applyFont="1" applyFill="1" applyBorder="1" applyAlignment="1" applyProtection="1">
      <alignment horizontal="center" vertical="center"/>
      <protection hidden="1"/>
    </xf>
    <xf numFmtId="0" fontId="43" fillId="2" borderId="8" xfId="0" applyFont="1" applyFill="1" applyBorder="1" applyProtection="1">
      <protection hidden="1"/>
    </xf>
    <xf numFmtId="0" fontId="73" fillId="0" borderId="7" xfId="0" applyFont="1" applyBorder="1" applyAlignment="1" applyProtection="1">
      <alignment horizontal="center" vertical="center"/>
      <protection hidden="1"/>
    </xf>
    <xf numFmtId="0" fontId="73" fillId="0" borderId="8" xfId="0" applyFont="1" applyBorder="1" applyAlignment="1" applyProtection="1">
      <alignment horizontal="center" vertical="center"/>
      <protection hidden="1"/>
    </xf>
    <xf numFmtId="0" fontId="73" fillId="0" borderId="18" xfId="0" applyFont="1" applyBorder="1" applyAlignment="1" applyProtection="1">
      <alignment horizontal="center" vertical="center" wrapText="1"/>
      <protection hidden="1"/>
    </xf>
    <xf numFmtId="0" fontId="0" fillId="0" borderId="18" xfId="0" applyBorder="1" applyAlignment="1" applyProtection="1">
      <alignment horizontal="center" vertical="center" wrapText="1"/>
      <protection hidden="1"/>
    </xf>
    <xf numFmtId="0" fontId="73" fillId="15" borderId="9" xfId="0" applyFont="1" applyFill="1"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46" xfId="0" applyBorder="1" applyAlignment="1" applyProtection="1">
      <alignment vertical="center" wrapText="1"/>
      <protection hidden="1"/>
    </xf>
    <xf numFmtId="3" fontId="43" fillId="31" borderId="32" xfId="0" applyNumberFormat="1" applyFont="1" applyFill="1" applyBorder="1" applyAlignment="1" applyProtection="1">
      <alignment horizontal="center" vertical="center" wrapText="1"/>
      <protection hidden="1"/>
    </xf>
    <xf numFmtId="182" fontId="43" fillId="15" borderId="9" xfId="0" applyNumberFormat="1" applyFont="1" applyFill="1" applyBorder="1" applyAlignment="1" applyProtection="1">
      <alignment horizontal="center" vertical="center" wrapText="1"/>
      <protection hidden="1"/>
    </xf>
    <xf numFmtId="182" fontId="43" fillId="2" borderId="9" xfId="0" applyNumberFormat="1" applyFont="1" applyFill="1" applyBorder="1" applyAlignment="1" applyProtection="1">
      <alignment horizontal="center" vertical="center" wrapText="1"/>
      <protection hidden="1"/>
    </xf>
    <xf numFmtId="182" fontId="43" fillId="2" borderId="46" xfId="0" applyNumberFormat="1" applyFont="1" applyFill="1" applyBorder="1" applyAlignment="1" applyProtection="1">
      <alignment horizontal="center" vertical="center" wrapText="1"/>
      <protection hidden="1"/>
    </xf>
    <xf numFmtId="0" fontId="43" fillId="2" borderId="0" xfId="0" applyFont="1" applyFill="1" applyBorder="1" applyAlignment="1" applyProtection="1">
      <alignment vertical="center" textRotation="90"/>
      <protection hidden="1"/>
    </xf>
    <xf numFmtId="167" fontId="43" fillId="2" borderId="12" xfId="0" applyNumberFormat="1" applyFont="1" applyFill="1" applyBorder="1" applyAlignment="1" applyProtection="1">
      <alignment horizontal="center" vertical="center"/>
      <protection hidden="1"/>
    </xf>
    <xf numFmtId="0" fontId="43" fillId="2" borderId="3" xfId="0" applyFont="1" applyFill="1" applyBorder="1" applyAlignment="1" applyProtection="1">
      <alignment vertical="center" textRotation="90"/>
      <protection hidden="1"/>
    </xf>
    <xf numFmtId="0" fontId="43" fillId="2" borderId="3" xfId="0" applyFont="1" applyFill="1" applyBorder="1" applyAlignment="1" applyProtection="1">
      <alignment horizontal="center" vertical="center" wrapText="1"/>
      <protection hidden="1"/>
    </xf>
    <xf numFmtId="0" fontId="43" fillId="2" borderId="5" xfId="0" applyFont="1" applyFill="1" applyBorder="1" applyAlignment="1" applyProtection="1">
      <alignment vertical="center" textRotation="90"/>
      <protection hidden="1"/>
    </xf>
    <xf numFmtId="0" fontId="43" fillId="2" borderId="5" xfId="0" applyFont="1" applyFill="1" applyBorder="1" applyAlignment="1" applyProtection="1">
      <alignment horizontal="center" vertical="center" wrapText="1"/>
      <protection hidden="1"/>
    </xf>
    <xf numFmtId="0" fontId="43" fillId="2" borderId="40" xfId="0" applyFont="1" applyFill="1" applyBorder="1" applyProtection="1">
      <protection hidden="1"/>
    </xf>
    <xf numFmtId="0" fontId="73" fillId="0" borderId="42" xfId="0" applyFont="1" applyBorder="1" applyAlignment="1" applyProtection="1">
      <alignment horizontal="center" vertical="center" wrapText="1"/>
      <protection hidden="1"/>
    </xf>
    <xf numFmtId="0" fontId="0" fillId="0" borderId="42" xfId="0" applyBorder="1" applyAlignment="1" applyProtection="1">
      <alignment horizontal="center" vertical="center" wrapText="1"/>
      <protection hidden="1"/>
    </xf>
    <xf numFmtId="182" fontId="0" fillId="15" borderId="9" xfId="0" applyNumberFormat="1" applyFill="1" applyBorder="1" applyAlignment="1" applyProtection="1">
      <alignment horizontal="center" vertical="center" wrapText="1"/>
      <protection hidden="1"/>
    </xf>
    <xf numFmtId="4" fontId="0" fillId="0" borderId="9" xfId="0" applyNumberFormat="1" applyBorder="1" applyAlignment="1" applyProtection="1">
      <alignment horizontal="center" vertical="center" wrapText="1"/>
      <protection hidden="1"/>
    </xf>
    <xf numFmtId="3" fontId="43" fillId="31" borderId="41" xfId="0" applyNumberFormat="1" applyFont="1" applyFill="1" applyBorder="1" applyAlignment="1" applyProtection="1">
      <alignment horizontal="center" vertical="center" wrapText="1"/>
      <protection hidden="1"/>
    </xf>
    <xf numFmtId="2" fontId="43" fillId="2" borderId="9" xfId="0" applyNumberFormat="1" applyFont="1" applyFill="1" applyBorder="1" applyAlignment="1" applyProtection="1">
      <alignment horizontal="center" vertical="center"/>
      <protection hidden="1"/>
    </xf>
    <xf numFmtId="167" fontId="73" fillId="15" borderId="9" xfId="0" applyNumberFormat="1" applyFont="1" applyFill="1" applyBorder="1" applyAlignment="1" applyProtection="1">
      <alignment horizontal="center" vertical="center" wrapText="1"/>
      <protection hidden="1"/>
    </xf>
    <xf numFmtId="0" fontId="90" fillId="26" borderId="1" xfId="0" applyFont="1" applyFill="1" applyBorder="1" applyAlignment="1" applyProtection="1">
      <alignment horizontal="center" vertical="center" wrapText="1"/>
      <protection hidden="1"/>
    </xf>
    <xf numFmtId="0" fontId="9" fillId="25" borderId="1" xfId="6" applyBorder="1" applyAlignment="1">
      <alignment horizontal="center" vertical="center"/>
    </xf>
    <xf numFmtId="167" fontId="87" fillId="15" borderId="36" xfId="0" applyNumberFormat="1" applyFont="1" applyFill="1" applyBorder="1" applyAlignment="1" applyProtection="1">
      <alignment horizontal="center" vertical="center" wrapText="1"/>
      <protection hidden="1"/>
    </xf>
    <xf numFmtId="2" fontId="3" fillId="7" borderId="74" xfId="0" applyNumberFormat="1" applyFont="1" applyFill="1" applyBorder="1" applyAlignment="1" applyProtection="1">
      <alignment horizontal="center" vertical="center"/>
      <protection hidden="1"/>
    </xf>
    <xf numFmtId="166" fontId="5" fillId="7" borderId="72" xfId="0" applyNumberFormat="1" applyFont="1" applyFill="1" applyBorder="1" applyAlignment="1" applyProtection="1">
      <alignment vertical="center" wrapText="1"/>
      <protection hidden="1"/>
    </xf>
    <xf numFmtId="2" fontId="5" fillId="7" borderId="72" xfId="0" applyNumberFormat="1" applyFont="1" applyFill="1" applyBorder="1" applyAlignment="1" applyProtection="1">
      <alignment vertical="center" wrapText="1"/>
      <protection hidden="1"/>
    </xf>
    <xf numFmtId="167" fontId="91" fillId="15" borderId="1" xfId="0" applyNumberFormat="1" applyFont="1" applyFill="1" applyBorder="1" applyAlignment="1" applyProtection="1">
      <alignment horizontal="center" vertical="center" wrapText="1"/>
      <protection hidden="1"/>
    </xf>
    <xf numFmtId="165" fontId="5" fillId="7" borderId="63" xfId="8" applyNumberFormat="1" applyFont="1" applyFill="1" applyBorder="1" applyAlignment="1" applyProtection="1">
      <alignment horizontal="center" vertical="center" wrapText="1"/>
      <protection hidden="1"/>
    </xf>
    <xf numFmtId="2" fontId="5" fillId="7" borderId="11" xfId="0" applyNumberFormat="1" applyFont="1" applyFill="1" applyBorder="1" applyAlignment="1" applyProtection="1">
      <alignment horizontal="center" vertical="center" wrapText="1"/>
      <protection hidden="1"/>
    </xf>
    <xf numFmtId="166" fontId="5" fillId="7" borderId="55" xfId="0" applyNumberFormat="1" applyFont="1" applyFill="1" applyBorder="1" applyAlignment="1" applyProtection="1">
      <alignment vertical="center" wrapText="1"/>
      <protection hidden="1"/>
    </xf>
    <xf numFmtId="2" fontId="5" fillId="7" borderId="23" xfId="0" applyNumberFormat="1" applyFont="1" applyFill="1" applyBorder="1" applyAlignment="1" applyProtection="1">
      <alignment horizontal="center" vertical="center" wrapText="1"/>
      <protection hidden="1"/>
    </xf>
    <xf numFmtId="2" fontId="5" fillId="7" borderId="55" xfId="0" applyNumberFormat="1" applyFont="1" applyFill="1" applyBorder="1" applyAlignment="1" applyProtection="1">
      <alignment vertical="center" wrapText="1"/>
      <protection hidden="1"/>
    </xf>
    <xf numFmtId="169" fontId="44" fillId="5" borderId="35" xfId="0" applyNumberFormat="1" applyFont="1" applyFill="1" applyBorder="1" applyAlignment="1" applyProtection="1">
      <alignment horizontal="center" vertical="center"/>
      <protection hidden="1"/>
    </xf>
    <xf numFmtId="169" fontId="44" fillId="2" borderId="35" xfId="0" applyNumberFormat="1" applyFont="1" applyFill="1" applyBorder="1" applyAlignment="1" applyProtection="1">
      <alignment vertical="center"/>
      <protection hidden="1"/>
    </xf>
    <xf numFmtId="169" fontId="44" fillId="2" borderId="35" xfId="0" applyNumberFormat="1" applyFont="1" applyFill="1" applyBorder="1" applyAlignment="1" applyProtection="1">
      <alignment vertical="center" wrapText="1"/>
      <protection hidden="1"/>
    </xf>
    <xf numFmtId="169" fontId="84" fillId="2" borderId="35" xfId="0" applyNumberFormat="1" applyFont="1" applyFill="1" applyBorder="1" applyAlignment="1" applyProtection="1">
      <alignment vertical="center" wrapText="1"/>
      <protection hidden="1"/>
    </xf>
    <xf numFmtId="14" fontId="84" fillId="5" borderId="9" xfId="0" applyNumberFormat="1" applyFont="1" applyFill="1" applyBorder="1" applyAlignment="1" applyProtection="1">
      <alignment horizontal="center" vertical="center" wrapText="1"/>
      <protection hidden="1"/>
    </xf>
    <xf numFmtId="14" fontId="44" fillId="5" borderId="9" xfId="0" applyNumberFormat="1" applyFont="1" applyFill="1" applyBorder="1" applyAlignment="1" applyProtection="1">
      <alignment horizontal="center" vertical="center" wrapText="1"/>
      <protection hidden="1"/>
    </xf>
    <xf numFmtId="0" fontId="44" fillId="5" borderId="9" xfId="0" applyFont="1" applyFill="1" applyBorder="1" applyAlignment="1" applyProtection="1">
      <alignment horizontal="center" vertical="center" wrapText="1"/>
      <protection hidden="1"/>
    </xf>
    <xf numFmtId="0" fontId="84" fillId="5" borderId="9" xfId="0" applyFont="1" applyFill="1" applyBorder="1" applyAlignment="1" applyProtection="1">
      <alignment horizontal="center" vertical="center" wrapText="1"/>
      <protection hidden="1"/>
    </xf>
    <xf numFmtId="0" fontId="84" fillId="7" borderId="9" xfId="0" applyFont="1" applyFill="1" applyBorder="1" applyAlignment="1" applyProtection="1">
      <alignment horizontal="center" vertical="center" wrapText="1"/>
      <protection hidden="1"/>
    </xf>
    <xf numFmtId="0" fontId="84" fillId="7" borderId="46" xfId="0" applyFont="1" applyFill="1" applyBorder="1" applyAlignment="1" applyProtection="1">
      <alignment horizontal="center" vertical="center" wrapText="1"/>
      <protection hidden="1"/>
    </xf>
    <xf numFmtId="2" fontId="91" fillId="7" borderId="1" xfId="0" applyNumberFormat="1" applyFont="1" applyFill="1" applyBorder="1" applyAlignment="1" applyProtection="1">
      <alignment horizontal="center" vertical="center" wrapText="1"/>
      <protection hidden="1"/>
    </xf>
    <xf numFmtId="2" fontId="91" fillId="7" borderId="1" xfId="0" applyNumberFormat="1" applyFont="1" applyFill="1" applyBorder="1" applyAlignment="1" applyProtection="1">
      <alignment horizontal="centerContinuous" vertical="center" wrapText="1"/>
      <protection hidden="1"/>
    </xf>
    <xf numFmtId="165" fontId="2" fillId="7" borderId="11" xfId="0" applyNumberFormat="1" applyFont="1" applyFill="1" applyBorder="1" applyAlignment="1" applyProtection="1">
      <alignment horizontal="center" vertical="center" wrapText="1"/>
      <protection hidden="1"/>
    </xf>
    <xf numFmtId="11" fontId="2" fillId="7" borderId="11" xfId="0" applyNumberFormat="1" applyFont="1" applyFill="1" applyBorder="1" applyAlignment="1" applyProtection="1">
      <alignment horizontal="center" vertical="center" wrapText="1"/>
      <protection hidden="1"/>
    </xf>
    <xf numFmtId="166" fontId="2" fillId="7" borderId="57" xfId="0" applyNumberFormat="1" applyFont="1" applyFill="1" applyBorder="1" applyAlignment="1" applyProtection="1">
      <alignment horizontal="center" vertical="center"/>
      <protection hidden="1"/>
    </xf>
    <xf numFmtId="2" fontId="2" fillId="5" borderId="14" xfId="0" applyNumberFormat="1" applyFont="1" applyFill="1" applyBorder="1" applyAlignment="1" applyProtection="1">
      <alignment horizontal="center" vertical="center" wrapText="1"/>
      <protection hidden="1"/>
    </xf>
    <xf numFmtId="166" fontId="2" fillId="5" borderId="14" xfId="0" applyNumberFormat="1" applyFont="1" applyFill="1" applyBorder="1" applyAlignment="1" applyProtection="1">
      <alignment horizontal="center" vertical="center" wrapText="1"/>
      <protection hidden="1"/>
    </xf>
    <xf numFmtId="166" fontId="2" fillId="5" borderId="59" xfId="0" applyNumberFormat="1" applyFont="1" applyFill="1" applyBorder="1" applyAlignment="1" applyProtection="1">
      <alignment horizontal="center" vertical="center"/>
      <protection hidden="1"/>
    </xf>
    <xf numFmtId="0" fontId="43" fillId="0" borderId="39" xfId="0" applyFont="1" applyFill="1" applyBorder="1" applyAlignment="1" applyProtection="1">
      <alignment horizontal="center" vertical="center" wrapText="1"/>
      <protection hidden="1"/>
    </xf>
    <xf numFmtId="2" fontId="24" fillId="13" borderId="46" xfId="0" applyNumberFormat="1" applyFont="1" applyFill="1" applyBorder="1" applyAlignment="1" applyProtection="1">
      <alignment horizontal="center" vertical="center" wrapText="1"/>
      <protection hidden="1"/>
    </xf>
    <xf numFmtId="2" fontId="2" fillId="12" borderId="46" xfId="1" applyNumberFormat="1" applyFont="1" applyFill="1" applyBorder="1" applyAlignment="1" applyProtection="1">
      <alignment horizontal="center" vertical="center"/>
      <protection locked="0" hidden="1"/>
    </xf>
    <xf numFmtId="1" fontId="3" fillId="7" borderId="36" xfId="0" applyNumberFormat="1" applyFont="1" applyFill="1" applyBorder="1" applyAlignment="1" applyProtection="1">
      <alignment horizontal="center" vertical="center" wrapText="1"/>
      <protection hidden="1"/>
    </xf>
    <xf numFmtId="1" fontId="3" fillId="7" borderId="9" xfId="0" applyNumberFormat="1" applyFont="1" applyFill="1" applyBorder="1" applyAlignment="1" applyProtection="1">
      <alignment horizontal="center" vertical="center" wrapText="1"/>
      <protection hidden="1"/>
    </xf>
    <xf numFmtId="172" fontId="24" fillId="7" borderId="36" xfId="0" applyNumberFormat="1" applyFont="1" applyFill="1" applyBorder="1" applyAlignment="1" applyProtection="1">
      <alignment horizontal="center" vertical="center" wrapText="1"/>
      <protection hidden="1"/>
    </xf>
    <xf numFmtId="167" fontId="24" fillId="7" borderId="39" xfId="0" applyNumberFormat="1" applyFont="1" applyFill="1" applyBorder="1" applyAlignment="1" applyProtection="1">
      <alignment horizontal="center" vertical="center" wrapText="1"/>
      <protection hidden="1"/>
    </xf>
    <xf numFmtId="2" fontId="5" fillId="7" borderId="43" xfId="0" applyNumberFormat="1"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protection hidden="1"/>
    </xf>
    <xf numFmtId="2" fontId="20" fillId="17" borderId="78" xfId="1" applyNumberFormat="1" applyFont="1" applyFill="1" applyBorder="1" applyAlignment="1" applyProtection="1">
      <alignment horizontal="center" vertical="center" wrapText="1"/>
      <protection hidden="1"/>
    </xf>
    <xf numFmtId="2" fontId="20" fillId="22" borderId="2" xfId="1" applyNumberFormat="1" applyFont="1" applyFill="1" applyBorder="1" applyAlignment="1" applyProtection="1">
      <alignment horizontal="center" vertical="center" wrapText="1"/>
      <protection hidden="1"/>
    </xf>
    <xf numFmtId="2" fontId="20" fillId="22" borderId="77" xfId="1" applyNumberFormat="1" applyFont="1" applyFill="1" applyBorder="1" applyAlignment="1" applyProtection="1">
      <alignment horizontal="center" vertical="center" wrapText="1"/>
      <protection hidden="1"/>
    </xf>
    <xf numFmtId="2" fontId="20" fillId="22" borderId="72" xfId="1" applyNumberFormat="1" applyFont="1" applyFill="1" applyBorder="1" applyAlignment="1" applyProtection="1">
      <alignment horizontal="center" vertical="center" wrapText="1"/>
      <protection hidden="1"/>
    </xf>
    <xf numFmtId="2" fontId="20" fillId="17" borderId="72" xfId="1" applyNumberFormat="1" applyFont="1" applyFill="1" applyBorder="1" applyAlignment="1" applyProtection="1">
      <alignment horizontal="center" vertical="center" wrapText="1"/>
      <protection hidden="1"/>
    </xf>
    <xf numFmtId="0" fontId="73" fillId="0" borderId="42" xfId="0" applyFont="1" applyBorder="1" applyProtection="1">
      <protection hidden="1"/>
    </xf>
    <xf numFmtId="0" fontId="73" fillId="0" borderId="46" xfId="0" applyFont="1" applyFill="1" applyBorder="1" applyProtection="1">
      <protection hidden="1"/>
    </xf>
    <xf numFmtId="0" fontId="43" fillId="0" borderId="9" xfId="0" applyFont="1" applyFill="1" applyBorder="1" applyAlignment="1" applyProtection="1">
      <alignment horizontal="center" wrapText="1"/>
      <protection hidden="1"/>
    </xf>
    <xf numFmtId="0" fontId="24" fillId="0" borderId="2" xfId="0" applyFont="1" applyFill="1" applyBorder="1" applyAlignment="1" applyProtection="1">
      <alignment vertical="center" wrapText="1"/>
      <protection locked="0" hidden="1"/>
    </xf>
    <xf numFmtId="0" fontId="24" fillId="0" borderId="3" xfId="0" applyFont="1" applyFill="1" applyBorder="1" applyAlignment="1" applyProtection="1">
      <alignment vertical="center" wrapText="1"/>
      <protection locked="0" hidden="1"/>
    </xf>
    <xf numFmtId="0" fontId="24" fillId="0" borderId="4" xfId="0" applyFont="1" applyFill="1" applyBorder="1" applyAlignment="1" applyProtection="1">
      <alignment vertical="center" wrapText="1"/>
      <protection locked="0" hidden="1"/>
    </xf>
    <xf numFmtId="0" fontId="43" fillId="0" borderId="14" xfId="0" applyFont="1" applyFill="1" applyBorder="1" applyAlignment="1" applyProtection="1">
      <alignment horizontal="center" vertical="center"/>
      <protection hidden="1"/>
    </xf>
    <xf numFmtId="0" fontId="43" fillId="0" borderId="59" xfId="0" applyFont="1" applyFill="1" applyBorder="1" applyAlignment="1" applyProtection="1">
      <alignment horizontal="center" vertical="center"/>
      <protection hidden="1"/>
    </xf>
    <xf numFmtId="0" fontId="43" fillId="2" borderId="42" xfId="0" applyFont="1" applyFill="1" applyBorder="1" applyProtection="1">
      <protection hidden="1"/>
    </xf>
    <xf numFmtId="0" fontId="73" fillId="0" borderId="43" xfId="0" applyFont="1" applyBorder="1" applyProtection="1">
      <protection hidden="1"/>
    </xf>
    <xf numFmtId="0" fontId="73" fillId="0" borderId="39" xfId="0" applyFont="1" applyBorder="1" applyProtection="1">
      <protection hidden="1"/>
    </xf>
    <xf numFmtId="0" fontId="73" fillId="0" borderId="36" xfId="0" applyFont="1" applyBorder="1" applyAlignment="1" applyProtection="1">
      <alignment horizontal="center" vertical="center"/>
      <protection hidden="1"/>
    </xf>
    <xf numFmtId="0" fontId="43" fillId="0" borderId="9" xfId="0" applyFont="1" applyFill="1" applyBorder="1" applyAlignment="1" applyProtection="1">
      <alignment horizontal="center" vertical="center"/>
      <protection hidden="1"/>
    </xf>
    <xf numFmtId="0" fontId="43" fillId="0" borderId="36" xfId="0" applyFont="1" applyFill="1" applyBorder="1" applyAlignment="1" applyProtection="1">
      <alignment horizontal="center" vertical="center"/>
      <protection hidden="1"/>
    </xf>
    <xf numFmtId="0" fontId="43" fillId="0" borderId="46" xfId="0" applyFont="1" applyFill="1" applyBorder="1" applyAlignment="1" applyProtection="1">
      <alignment horizontal="center" vertical="center"/>
      <protection hidden="1"/>
    </xf>
    <xf numFmtId="0" fontId="43" fillId="0" borderId="39" xfId="0" applyFont="1" applyFill="1" applyBorder="1" applyAlignment="1" applyProtection="1">
      <alignment horizontal="center" vertical="center"/>
      <protection hidden="1"/>
    </xf>
    <xf numFmtId="0" fontId="73" fillId="2" borderId="42" xfId="0" applyFont="1" applyFill="1" applyBorder="1" applyAlignment="1" applyProtection="1">
      <alignment horizontal="center" vertical="center"/>
      <protection hidden="1"/>
    </xf>
    <xf numFmtId="0" fontId="73" fillId="2" borderId="9" xfId="0" applyFont="1" applyFill="1" applyBorder="1" applyAlignment="1" applyProtection="1">
      <alignment horizontal="center" vertical="center"/>
      <protection hidden="1"/>
    </xf>
    <xf numFmtId="0" fontId="73" fillId="2" borderId="46" xfId="0" applyFont="1" applyFill="1" applyBorder="1" applyAlignment="1" applyProtection="1">
      <alignment horizontal="center" vertical="center"/>
      <protection hidden="1"/>
    </xf>
    <xf numFmtId="0" fontId="0" fillId="15" borderId="9" xfId="0" applyFill="1" applyBorder="1" applyAlignment="1" applyProtection="1">
      <alignment horizontal="center" vertical="center" wrapText="1"/>
      <protection hidden="1"/>
    </xf>
    <xf numFmtId="0" fontId="43" fillId="15" borderId="9" xfId="0" applyFont="1" applyFill="1" applyBorder="1" applyAlignment="1" applyProtection="1">
      <alignment horizontal="center" vertical="center" wrapText="1"/>
      <protection hidden="1"/>
    </xf>
    <xf numFmtId="0" fontId="43" fillId="2" borderId="9" xfId="0" applyFont="1" applyFill="1" applyBorder="1" applyAlignment="1" applyProtection="1">
      <alignment horizontal="center" vertical="center" wrapText="1"/>
      <protection hidden="1"/>
    </xf>
    <xf numFmtId="167" fontId="43" fillId="15" borderId="9" xfId="0" applyNumberFormat="1" applyFont="1" applyFill="1" applyBorder="1" applyAlignment="1" applyProtection="1">
      <alignment horizontal="center" vertical="center" wrapText="1"/>
      <protection hidden="1"/>
    </xf>
    <xf numFmtId="167" fontId="0" fillId="15" borderId="9" xfId="0" applyNumberFormat="1" applyFill="1" applyBorder="1" applyAlignment="1" applyProtection="1">
      <alignment horizontal="center" vertical="center" wrapText="1"/>
      <protection hidden="1"/>
    </xf>
    <xf numFmtId="167" fontId="43" fillId="15" borderId="42" xfId="0" applyNumberFormat="1" applyFont="1" applyFill="1" applyBorder="1" applyAlignment="1" applyProtection="1">
      <alignment horizontal="center" vertical="center" wrapText="1"/>
      <protection hidden="1"/>
    </xf>
    <xf numFmtId="0" fontId="43" fillId="2" borderId="12" xfId="0" applyFont="1" applyFill="1" applyBorder="1" applyAlignment="1" applyProtection="1">
      <alignment horizontal="center" vertical="center"/>
      <protection hidden="1"/>
    </xf>
    <xf numFmtId="0" fontId="43" fillId="15" borderId="15" xfId="0" applyFont="1" applyFill="1" applyBorder="1" applyAlignment="1" applyProtection="1">
      <alignment horizontal="center" vertical="center"/>
      <protection hidden="1"/>
    </xf>
    <xf numFmtId="0" fontId="43" fillId="15" borderId="18" xfId="0" applyFont="1" applyFill="1" applyBorder="1" applyAlignment="1" applyProtection="1">
      <alignment horizontal="center" vertical="center"/>
      <protection hidden="1"/>
    </xf>
    <xf numFmtId="0" fontId="7" fillId="5" borderId="34"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3" fillId="5" borderId="23" xfId="0" applyFont="1" applyFill="1" applyBorder="1" applyAlignment="1" applyProtection="1">
      <alignment horizontal="left" vertical="center" wrapText="1"/>
      <protection hidden="1"/>
    </xf>
    <xf numFmtId="0" fontId="41" fillId="2" borderId="11" xfId="0" applyFont="1" applyFill="1" applyBorder="1" applyAlignment="1" applyProtection="1">
      <alignment horizontal="center" vertical="center" wrapText="1"/>
      <protection hidden="1"/>
    </xf>
    <xf numFmtId="0" fontId="41" fillId="2" borderId="23" xfId="0" applyFont="1" applyFill="1" applyBorder="1" applyAlignment="1" applyProtection="1">
      <alignment horizontal="center" vertical="center" wrapText="1"/>
      <protection hidden="1"/>
    </xf>
    <xf numFmtId="0" fontId="41" fillId="2" borderId="35" xfId="0" applyFont="1" applyFill="1" applyBorder="1" applyAlignment="1" applyProtection="1">
      <alignment horizontal="center" vertical="center" wrapText="1"/>
      <protection hidden="1"/>
    </xf>
    <xf numFmtId="0" fontId="7" fillId="17" borderId="42" xfId="0" applyFont="1" applyFill="1" applyBorder="1" applyAlignment="1" applyProtection="1">
      <alignment horizontal="center" vertical="center" wrapText="1"/>
      <protection hidden="1"/>
    </xf>
    <xf numFmtId="0" fontId="1" fillId="5" borderId="18" xfId="0" applyFont="1" applyFill="1" applyBorder="1" applyAlignment="1" applyProtection="1">
      <alignment horizontal="center" vertical="center" wrapText="1"/>
      <protection hidden="1"/>
    </xf>
    <xf numFmtId="0" fontId="24" fillId="13" borderId="9"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7" fillId="17" borderId="44" xfId="0" applyFont="1" applyFill="1" applyBorder="1" applyAlignment="1" applyProtection="1">
      <alignment horizontal="left" vertical="center" wrapText="1"/>
      <protection hidden="1"/>
    </xf>
    <xf numFmtId="164" fontId="24" fillId="13" borderId="9" xfId="0" applyNumberFormat="1" applyFont="1" applyFill="1" applyBorder="1" applyAlignment="1" applyProtection="1">
      <alignment horizontal="center" vertical="center" wrapText="1"/>
      <protection hidden="1"/>
    </xf>
    <xf numFmtId="14" fontId="24" fillId="13" borderId="9" xfId="0" applyNumberFormat="1" applyFont="1" applyFill="1" applyBorder="1" applyAlignment="1" applyProtection="1">
      <alignment horizontal="center" vertical="center" wrapText="1"/>
      <protection hidden="1"/>
    </xf>
    <xf numFmtId="0" fontId="9" fillId="25" borderId="76"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0" fontId="43" fillId="2" borderId="0" xfId="0" applyFont="1" applyFill="1" applyBorder="1" applyAlignment="1" applyProtection="1">
      <alignment horizontal="center" vertical="center" wrapText="1"/>
      <protection hidden="1"/>
    </xf>
    <xf numFmtId="0" fontId="39" fillId="2" borderId="23"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38" xfId="0" applyFont="1" applyFill="1" applyBorder="1" applyAlignment="1" applyProtection="1">
      <alignment horizontal="center" vertical="center" wrapText="1"/>
      <protection hidden="1"/>
    </xf>
    <xf numFmtId="2" fontId="24" fillId="16" borderId="9" xfId="0" applyNumberFormat="1" applyFont="1" applyFill="1" applyBorder="1" applyAlignment="1" applyProtection="1">
      <alignment horizontal="center" vertical="center" wrapText="1"/>
      <protection hidden="1"/>
    </xf>
    <xf numFmtId="2" fontId="24" fillId="16" borderId="46" xfId="0" applyNumberFormat="1" applyFont="1" applyFill="1" applyBorder="1" applyAlignment="1" applyProtection="1">
      <alignment horizontal="center" vertical="center" wrapText="1"/>
      <protection hidden="1"/>
    </xf>
    <xf numFmtId="1" fontId="3" fillId="21" borderId="36" xfId="0" applyNumberFormat="1" applyFont="1" applyFill="1" applyBorder="1" applyAlignment="1" applyProtection="1">
      <alignment horizontal="center" vertical="center" wrapText="1"/>
      <protection hidden="1"/>
    </xf>
    <xf numFmtId="165" fontId="24" fillId="13" borderId="9" xfId="0" applyNumberFormat="1" applyFont="1" applyFill="1" applyBorder="1" applyAlignment="1" applyProtection="1">
      <alignment horizontal="center" vertical="center" wrapText="1"/>
      <protection hidden="1"/>
    </xf>
    <xf numFmtId="165" fontId="24" fillId="13" borderId="41" xfId="0" applyNumberFormat="1" applyFont="1" applyFill="1" applyBorder="1" applyAlignment="1" applyProtection="1">
      <alignment horizontal="center" vertical="center" wrapText="1"/>
      <protection hidden="1"/>
    </xf>
    <xf numFmtId="165" fontId="24" fillId="13" borderId="42" xfId="0" applyNumberFormat="1" applyFont="1" applyFill="1" applyBorder="1" applyAlignment="1" applyProtection="1">
      <alignment horizontal="center" vertical="center" wrapText="1"/>
      <protection hidden="1"/>
    </xf>
    <xf numFmtId="165" fontId="24" fillId="13" borderId="46" xfId="0" applyNumberFormat="1" applyFont="1" applyFill="1" applyBorder="1" applyAlignment="1" applyProtection="1">
      <alignment horizontal="center" vertical="center" wrapText="1"/>
      <protection hidden="1"/>
    </xf>
    <xf numFmtId="14" fontId="41" fillId="2" borderId="9" xfId="0" applyNumberFormat="1" applyFont="1" applyFill="1" applyBorder="1" applyAlignment="1" applyProtection="1">
      <alignment horizontal="center" vertical="center" wrapText="1"/>
      <protection hidden="1"/>
    </xf>
    <xf numFmtId="49" fontId="41" fillId="2" borderId="9" xfId="0" applyNumberFormat="1" applyFont="1" applyFill="1" applyBorder="1" applyAlignment="1" applyProtection="1">
      <alignment horizontal="center" vertical="center" wrapText="1"/>
      <protection hidden="1"/>
    </xf>
    <xf numFmtId="1" fontId="41" fillId="2" borderId="9" xfId="0" applyNumberFormat="1" applyFont="1" applyFill="1" applyBorder="1" applyAlignment="1" applyProtection="1">
      <alignment horizontal="center" vertical="center" wrapText="1"/>
      <protection hidden="1"/>
    </xf>
    <xf numFmtId="0" fontId="82" fillId="2" borderId="9" xfId="0" applyFont="1" applyFill="1" applyBorder="1" applyAlignment="1" applyProtection="1">
      <alignment horizontal="center" vertical="center"/>
      <protection hidden="1"/>
    </xf>
    <xf numFmtId="172" fontId="41" fillId="2" borderId="9" xfId="0" applyNumberFormat="1" applyFont="1" applyFill="1" applyBorder="1" applyAlignment="1" applyProtection="1">
      <alignment horizontal="center" vertical="center" wrapText="1"/>
      <protection hidden="1"/>
    </xf>
    <xf numFmtId="2" fontId="41" fillId="2" borderId="9" xfId="0" applyNumberFormat="1" applyFont="1" applyFill="1" applyBorder="1" applyAlignment="1" applyProtection="1">
      <alignment horizontal="center" vertical="center" wrapText="1"/>
      <protection hidden="1"/>
    </xf>
    <xf numFmtId="166" fontId="41" fillId="2" borderId="9" xfId="0" applyNumberFormat="1" applyFont="1" applyFill="1" applyBorder="1" applyAlignment="1" applyProtection="1">
      <alignment horizontal="center" vertical="center" wrapText="1"/>
      <protection hidden="1"/>
    </xf>
    <xf numFmtId="173" fontId="41" fillId="2" borderId="9" xfId="0" applyNumberFormat="1" applyFont="1" applyFill="1" applyBorder="1" applyAlignment="1" applyProtection="1">
      <alignment horizontal="center" vertical="center" wrapText="1"/>
      <protection hidden="1"/>
    </xf>
    <xf numFmtId="0" fontId="41" fillId="2" borderId="36" xfId="0" applyFont="1" applyFill="1" applyBorder="1" applyAlignment="1" applyProtection="1">
      <alignment horizontal="center" vertical="center"/>
      <protection hidden="1"/>
    </xf>
    <xf numFmtId="0" fontId="9" fillId="25" borderId="1" xfId="6" applyBorder="1" applyAlignment="1" applyProtection="1">
      <alignment horizontal="center" vertical="center"/>
      <protection locked="0"/>
    </xf>
    <xf numFmtId="0" fontId="81" fillId="0" borderId="0" xfId="0" applyFont="1" applyAlignment="1" applyProtection="1">
      <alignment horizontal="center" vertical="center" readingOrder="1"/>
    </xf>
    <xf numFmtId="0" fontId="83" fillId="0" borderId="0" xfId="0" applyFont="1" applyAlignment="1" applyProtection="1">
      <alignment vertical="center"/>
    </xf>
    <xf numFmtId="167" fontId="41" fillId="2" borderId="14" xfId="0" applyNumberFormat="1" applyFont="1" applyFill="1" applyBorder="1" applyAlignment="1" applyProtection="1">
      <alignment horizontal="center" vertical="center" wrapText="1"/>
      <protection hidden="1"/>
    </xf>
    <xf numFmtId="167" fontId="41" fillId="2" borderId="9" xfId="0" applyNumberFormat="1" applyFont="1" applyFill="1" applyBorder="1" applyAlignment="1" applyProtection="1">
      <alignment horizontal="center" vertical="center" wrapText="1"/>
      <protection hidden="1"/>
    </xf>
    <xf numFmtId="166" fontId="101" fillId="21" borderId="43" xfId="0" applyNumberFormat="1" applyFont="1" applyFill="1" applyBorder="1" applyAlignment="1" applyProtection="1">
      <alignment horizontal="center" vertical="center"/>
    </xf>
    <xf numFmtId="166" fontId="101" fillId="21" borderId="36" xfId="0" applyNumberFormat="1" applyFont="1" applyFill="1" applyBorder="1" applyAlignment="1" applyProtection="1">
      <alignment horizontal="center" vertical="center"/>
    </xf>
    <xf numFmtId="166" fontId="101" fillId="21" borderId="39" xfId="0" applyNumberFormat="1" applyFont="1" applyFill="1" applyBorder="1" applyAlignment="1" applyProtection="1">
      <alignment horizontal="center" vertical="center"/>
    </xf>
    <xf numFmtId="166" fontId="64" fillId="21" borderId="9" xfId="0" applyNumberFormat="1" applyFont="1" applyFill="1" applyBorder="1" applyAlignment="1" applyProtection="1">
      <alignment horizontal="center" vertical="center"/>
      <protection hidden="1"/>
    </xf>
    <xf numFmtId="0" fontId="65" fillId="0" borderId="0" xfId="0" applyFont="1" applyProtection="1"/>
    <xf numFmtId="0" fontId="68" fillId="0" borderId="0" xfId="0" applyFont="1" applyBorder="1" applyAlignment="1" applyProtection="1">
      <alignment vertical="center" wrapText="1"/>
    </xf>
    <xf numFmtId="0" fontId="65" fillId="0" borderId="0" xfId="0" applyFont="1" applyAlignment="1" applyProtection="1">
      <alignment horizontal="center" vertical="center" wrapText="1"/>
    </xf>
    <xf numFmtId="0" fontId="68" fillId="0" borderId="0" xfId="0" applyFont="1" applyAlignment="1" applyProtection="1">
      <alignment horizontal="right"/>
    </xf>
    <xf numFmtId="0" fontId="68" fillId="0" borderId="0" xfId="0" applyFont="1" applyBorder="1" applyAlignment="1" applyProtection="1">
      <alignment horizontal="left" vertical="center" wrapText="1"/>
    </xf>
    <xf numFmtId="0" fontId="65" fillId="0" borderId="0" xfId="0" applyFont="1" applyAlignment="1" applyProtection="1">
      <alignment vertical="center" wrapText="1"/>
    </xf>
    <xf numFmtId="0" fontId="65" fillId="0" borderId="0" xfId="0" applyFont="1" applyBorder="1" applyAlignment="1" applyProtection="1">
      <alignment horizontal="left" vertical="center" wrapText="1"/>
    </xf>
    <xf numFmtId="0" fontId="65" fillId="0" borderId="0" xfId="0" applyFont="1" applyBorder="1" applyAlignment="1" applyProtection="1">
      <alignment vertical="center" wrapText="1"/>
    </xf>
    <xf numFmtId="0" fontId="65" fillId="0" borderId="0" xfId="0" applyFont="1" applyBorder="1" applyProtection="1"/>
    <xf numFmtId="0" fontId="94" fillId="0" borderId="0" xfId="0" applyFont="1" applyBorder="1" applyAlignment="1" applyProtection="1">
      <alignment vertical="center" wrapText="1"/>
    </xf>
    <xf numFmtId="0" fontId="65" fillId="0" borderId="0" xfId="0" applyFont="1" applyAlignment="1" applyProtection="1">
      <alignment horizontal="left" vertical="center" wrapText="1"/>
    </xf>
    <xf numFmtId="0" fontId="65" fillId="0" borderId="0" xfId="0" applyFont="1" applyBorder="1" applyAlignment="1" applyProtection="1"/>
    <xf numFmtId="0" fontId="65" fillId="0" borderId="0" xfId="0" applyFont="1" applyAlignment="1" applyProtection="1">
      <alignment vertical="justify"/>
    </xf>
    <xf numFmtId="0" fontId="65" fillId="0" borderId="0" xfId="0" applyFont="1" applyAlignment="1" applyProtection="1">
      <alignment horizontal="left"/>
    </xf>
    <xf numFmtId="0" fontId="65" fillId="0" borderId="0" xfId="0" applyFont="1" applyAlignment="1" applyProtection="1">
      <alignment horizontal="left" vertical="justify"/>
    </xf>
    <xf numFmtId="0" fontId="66" fillId="0" borderId="0" xfId="0" applyFont="1" applyProtection="1"/>
    <xf numFmtId="14" fontId="66" fillId="0" borderId="0" xfId="0" applyNumberFormat="1" applyFont="1" applyAlignment="1" applyProtection="1">
      <alignment vertical="center" wrapText="1"/>
    </xf>
    <xf numFmtId="0" fontId="65" fillId="0" borderId="0" xfId="0" applyFont="1" applyAlignment="1" applyProtection="1">
      <alignment vertical="justify" wrapText="1"/>
    </xf>
    <xf numFmtId="0" fontId="65" fillId="0" borderId="0" xfId="0" applyFont="1" applyAlignment="1" applyProtection="1">
      <alignment horizontal="center" vertical="center"/>
    </xf>
    <xf numFmtId="0" fontId="68" fillId="0" borderId="0" xfId="0" applyFont="1" applyAlignment="1" applyProtection="1">
      <alignment vertical="center"/>
    </xf>
    <xf numFmtId="0" fontId="65" fillId="0" borderId="0" xfId="0" applyFont="1" applyAlignment="1" applyProtection="1">
      <alignment horizontal="justify" vertical="justify" wrapText="1"/>
    </xf>
    <xf numFmtId="0" fontId="65" fillId="0" borderId="0" xfId="0" applyFont="1" applyAlignment="1" applyProtection="1">
      <alignment horizontal="center" vertical="justify" wrapText="1"/>
    </xf>
    <xf numFmtId="0" fontId="95" fillId="0" borderId="0" xfId="0" applyFont="1" applyProtection="1"/>
    <xf numFmtId="0" fontId="95" fillId="0" borderId="0" xfId="0" applyFont="1" applyAlignment="1" applyProtection="1">
      <alignment horizontal="left" vertical="center" wrapText="1"/>
    </xf>
    <xf numFmtId="0" fontId="95" fillId="0" borderId="0" xfId="0" applyFont="1" applyAlignment="1" applyProtection="1">
      <alignment horizontal="justify" vertical="justify" wrapText="1"/>
    </xf>
    <xf numFmtId="0" fontId="96" fillId="0" borderId="0" xfId="0" applyFont="1" applyAlignment="1" applyProtection="1">
      <alignment horizontal="justify" vertical="center"/>
    </xf>
    <xf numFmtId="0" fontId="97" fillId="0" borderId="0" xfId="0" applyFont="1" applyAlignment="1" applyProtection="1">
      <alignment horizontal="center"/>
    </xf>
    <xf numFmtId="0" fontId="97" fillId="0" borderId="0" xfId="0" applyFont="1" applyProtection="1"/>
    <xf numFmtId="0" fontId="98" fillId="0" borderId="0" xfId="0" applyFont="1" applyBorder="1" applyAlignment="1" applyProtection="1">
      <alignment horizontal="center" vertical="center" wrapText="1"/>
    </xf>
    <xf numFmtId="0" fontId="95" fillId="0" borderId="0" xfId="0" applyFont="1" applyAlignment="1" applyProtection="1">
      <alignment horizontal="justify" vertical="center"/>
    </xf>
    <xf numFmtId="0" fontId="95" fillId="0" borderId="0" xfId="0" applyFont="1" applyAlignment="1" applyProtection="1">
      <alignment horizontal="left" vertical="justify" wrapText="1"/>
    </xf>
    <xf numFmtId="0" fontId="95" fillId="0" borderId="0" xfId="0" applyFont="1" applyAlignment="1" applyProtection="1">
      <alignment horizontal="left"/>
    </xf>
    <xf numFmtId="0" fontId="68" fillId="0" borderId="0" xfId="0" applyFont="1" applyAlignment="1" applyProtection="1">
      <alignment horizontal="right" vertical="center" wrapText="1"/>
    </xf>
    <xf numFmtId="0" fontId="68" fillId="0" borderId="0" xfId="0" applyFont="1" applyAlignment="1" applyProtection="1">
      <alignment horizontal="left" vertical="center"/>
    </xf>
    <xf numFmtId="181" fontId="65" fillId="0" borderId="0" xfId="0" applyNumberFormat="1" applyFont="1" applyAlignment="1" applyProtection="1">
      <alignment wrapText="1"/>
    </xf>
    <xf numFmtId="0" fontId="65" fillId="0" borderId="0" xfId="0" applyFont="1" applyAlignment="1" applyProtection="1">
      <alignment horizontal="right" vertical="top" wrapText="1"/>
    </xf>
    <xf numFmtId="0" fontId="80" fillId="0" borderId="0" xfId="0" applyFont="1" applyAlignment="1" applyProtection="1">
      <alignment horizontal="left" vertical="center" wrapText="1"/>
    </xf>
    <xf numFmtId="0" fontId="80" fillId="0" borderId="0" xfId="0" applyFont="1" applyProtection="1"/>
    <xf numFmtId="0" fontId="80" fillId="0" borderId="0" xfId="0" applyFont="1" applyAlignment="1" applyProtection="1">
      <alignment horizontal="justify" vertical="justify" wrapText="1"/>
    </xf>
    <xf numFmtId="0" fontId="68" fillId="0" borderId="0" xfId="0" applyFont="1" applyBorder="1" applyAlignment="1" applyProtection="1">
      <alignment horizontal="center" vertical="center" wrapText="1"/>
    </xf>
    <xf numFmtId="0" fontId="68" fillId="0" borderId="1" xfId="0" applyFont="1" applyBorder="1" applyAlignment="1" applyProtection="1">
      <alignment horizontal="center" vertical="center" wrapText="1"/>
    </xf>
    <xf numFmtId="0" fontId="65" fillId="0" borderId="0" xfId="0" applyFont="1" applyBorder="1" applyAlignment="1" applyProtection="1">
      <alignment horizontal="center" vertical="center" wrapText="1"/>
    </xf>
    <xf numFmtId="0" fontId="65" fillId="2" borderId="0" xfId="0" applyFont="1" applyFill="1" applyBorder="1" applyProtection="1"/>
    <xf numFmtId="0" fontId="94" fillId="0" borderId="0" xfId="0" applyFont="1" applyBorder="1" applyAlignment="1" applyProtection="1">
      <alignment horizontal="center" vertical="center" wrapText="1"/>
    </xf>
    <xf numFmtId="0" fontId="80" fillId="2" borderId="0" xfId="0" applyFont="1" applyFill="1" applyBorder="1" applyProtection="1"/>
    <xf numFmtId="0" fontId="94" fillId="0" borderId="0" xfId="0" applyFont="1" applyAlignment="1" applyProtection="1">
      <alignment horizontal="left" vertical="center"/>
    </xf>
    <xf numFmtId="0" fontId="68" fillId="0" borderId="2" xfId="0" applyFont="1" applyFill="1" applyBorder="1" applyAlignment="1" applyProtection="1">
      <alignment horizontal="centerContinuous" vertical="center" wrapText="1"/>
    </xf>
    <xf numFmtId="0" fontId="68" fillId="0" borderId="4" xfId="0" applyFont="1" applyFill="1" applyBorder="1" applyAlignment="1" applyProtection="1">
      <alignment horizontal="centerContinuous" vertical="center" wrapText="1"/>
    </xf>
    <xf numFmtId="0" fontId="68" fillId="0" borderId="2" xfId="0" applyFont="1" applyBorder="1" applyAlignment="1" applyProtection="1">
      <alignment horizontal="centerContinuous" vertical="center" wrapText="1"/>
    </xf>
    <xf numFmtId="0" fontId="68" fillId="0" borderId="4" xfId="0" applyFont="1" applyBorder="1" applyAlignment="1" applyProtection="1">
      <alignment horizontal="centerContinuous" vertical="center" wrapText="1"/>
    </xf>
    <xf numFmtId="0" fontId="68" fillId="0" borderId="76" xfId="0" applyFont="1" applyBorder="1" applyAlignment="1" applyProtection="1">
      <alignment horizontal="centerContinuous" vertical="center" wrapText="1"/>
    </xf>
    <xf numFmtId="180" fontId="66" fillId="0" borderId="6" xfId="0" applyNumberFormat="1" applyFont="1" applyFill="1" applyBorder="1" applyAlignment="1" applyProtection="1">
      <alignment horizontal="centerContinuous" vertical="center" wrapText="1"/>
    </xf>
    <xf numFmtId="180" fontId="65" fillId="0" borderId="0" xfId="0" applyNumberFormat="1" applyFont="1" applyBorder="1" applyAlignment="1" applyProtection="1">
      <alignment horizontal="centerContinuous" vertical="center" wrapText="1"/>
    </xf>
    <xf numFmtId="0" fontId="65" fillId="0" borderId="0" xfId="0" applyFont="1" applyBorder="1" applyAlignment="1" applyProtection="1">
      <alignment horizontal="centerContinuous" vertical="center" wrapText="1"/>
    </xf>
    <xf numFmtId="165" fontId="65" fillId="2" borderId="0" xfId="0" applyNumberFormat="1" applyFont="1" applyFill="1" applyBorder="1" applyAlignment="1" applyProtection="1">
      <alignment horizontal="center" vertical="center" wrapText="1"/>
    </xf>
    <xf numFmtId="0" fontId="65" fillId="2" borderId="0" xfId="0" applyFont="1" applyFill="1" applyBorder="1" applyAlignment="1" applyProtection="1">
      <alignment horizontal="center" vertical="center" wrapText="1"/>
    </xf>
    <xf numFmtId="165" fontId="65" fillId="2" borderId="0" xfId="0" applyNumberFormat="1" applyFont="1" applyFill="1" applyBorder="1" applyAlignment="1" applyProtection="1">
      <alignment horizontal="centerContinuous" vertical="center" wrapText="1"/>
    </xf>
    <xf numFmtId="0" fontId="66" fillId="0" borderId="0" xfId="0" applyFont="1" applyFill="1" applyProtection="1"/>
    <xf numFmtId="0" fontId="9" fillId="0" borderId="0" xfId="0" applyFont="1" applyFill="1" applyProtection="1"/>
    <xf numFmtId="0" fontId="10" fillId="0" borderId="2" xfId="0" applyFont="1" applyFill="1" applyBorder="1" applyAlignment="1" applyProtection="1">
      <alignment horizontal="centerContinuous" vertical="center" wrapText="1"/>
    </xf>
    <xf numFmtId="0" fontId="10" fillId="0" borderId="4" xfId="0" applyFont="1" applyFill="1" applyBorder="1" applyAlignment="1" applyProtection="1">
      <alignment horizontal="centerContinuous" vertical="center" wrapText="1"/>
    </xf>
    <xf numFmtId="0" fontId="10" fillId="0" borderId="76" xfId="0" applyFont="1" applyFill="1" applyBorder="1" applyAlignment="1" applyProtection="1">
      <alignment horizontal="centerContinuous" vertical="center" wrapText="1"/>
    </xf>
    <xf numFmtId="0" fontId="65" fillId="0" borderId="0" xfId="0" applyFont="1" applyAlignment="1" applyProtection="1"/>
    <xf numFmtId="167" fontId="68" fillId="0" borderId="1" xfId="0" applyNumberFormat="1" applyFont="1" applyBorder="1" applyAlignment="1" applyProtection="1">
      <alignment horizontal="center" vertical="center" wrapText="1"/>
    </xf>
    <xf numFmtId="0" fontId="68" fillId="0" borderId="0" xfId="0" applyFont="1" applyAlignment="1" applyProtection="1">
      <alignment horizontal="center" vertical="center" wrapText="1"/>
    </xf>
    <xf numFmtId="0" fontId="68" fillId="0" borderId="0" xfId="0" applyFont="1" applyAlignment="1" applyProtection="1">
      <alignment horizontal="left" vertical="center" wrapText="1"/>
    </xf>
    <xf numFmtId="0" fontId="99" fillId="0" borderId="0" xfId="0" applyFont="1" applyAlignment="1" applyProtection="1">
      <alignment horizontal="left" vertical="center" wrapText="1"/>
    </xf>
    <xf numFmtId="0" fontId="100" fillId="0" borderId="1" xfId="0" applyFont="1" applyBorder="1" applyAlignment="1" applyProtection="1">
      <alignment horizontal="center" vertical="center" wrapText="1"/>
    </xf>
    <xf numFmtId="2" fontId="68" fillId="0" borderId="2" xfId="0" applyNumberFormat="1" applyFont="1" applyBorder="1" applyAlignment="1" applyProtection="1">
      <alignment horizontal="center" vertical="center" wrapText="1"/>
    </xf>
    <xf numFmtId="0" fontId="68" fillId="0" borderId="4" xfId="0" applyFont="1" applyBorder="1" applyAlignment="1" applyProtection="1">
      <alignment horizontal="center" vertical="center" wrapText="1"/>
    </xf>
    <xf numFmtId="166" fontId="68" fillId="0" borderId="76" xfId="0" applyNumberFormat="1" applyFont="1" applyBorder="1" applyAlignment="1" applyProtection="1">
      <alignment horizontal="center" vertical="center" wrapText="1"/>
    </xf>
    <xf numFmtId="166" fontId="72" fillId="0" borderId="6" xfId="0" applyNumberFormat="1" applyFont="1" applyFill="1" applyBorder="1" applyAlignment="1" applyProtection="1">
      <alignment horizontal="center" vertical="center" wrapText="1"/>
    </xf>
    <xf numFmtId="0" fontId="72" fillId="0" borderId="8" xfId="0" applyFont="1" applyFill="1" applyBorder="1" applyAlignment="1" applyProtection="1">
      <alignment horizontal="centerContinuous" vertical="center" wrapText="1"/>
    </xf>
    <xf numFmtId="166" fontId="72" fillId="0" borderId="1" xfId="0" applyNumberFormat="1" applyFont="1" applyBorder="1" applyAlignment="1" applyProtection="1">
      <alignment horizontal="center" vertical="center" wrapText="1"/>
    </xf>
    <xf numFmtId="166" fontId="68" fillId="0" borderId="0" xfId="0" applyNumberFormat="1" applyFont="1" applyBorder="1" applyAlignment="1" applyProtection="1">
      <alignment horizontal="center" vertical="center" wrapText="1"/>
    </xf>
    <xf numFmtId="0" fontId="68" fillId="0" borderId="0" xfId="0" applyFont="1" applyBorder="1" applyAlignment="1" applyProtection="1">
      <alignment horizontal="centerContinuous" vertical="center" wrapText="1"/>
    </xf>
    <xf numFmtId="0" fontId="66" fillId="0" borderId="0" xfId="0" applyFont="1" applyAlignment="1" applyProtection="1">
      <alignment horizontal="justify" vertical="justify" wrapText="1"/>
    </xf>
    <xf numFmtId="0" fontId="103" fillId="0" borderId="0" xfId="0" applyFont="1" applyAlignment="1" applyProtection="1">
      <alignment horizontal="left" vertical="justify" wrapText="1"/>
    </xf>
    <xf numFmtId="0" fontId="72" fillId="0" borderId="0" xfId="0" applyFont="1" applyAlignment="1" applyProtection="1">
      <alignment horizontal="center" vertical="center" wrapText="1"/>
    </xf>
    <xf numFmtId="0" fontId="80" fillId="0" borderId="0" xfId="0" applyFont="1" applyAlignment="1" applyProtection="1">
      <alignment horizontal="left" vertical="justify" wrapText="1"/>
    </xf>
    <xf numFmtId="0" fontId="66" fillId="0" borderId="0" xfId="0" applyFont="1" applyAlignment="1" applyProtection="1">
      <alignment horizontal="left" vertical="justify" wrapText="1"/>
    </xf>
    <xf numFmtId="0" fontId="66" fillId="0" borderId="0" xfId="0" applyFont="1" applyAlignment="1" applyProtection="1">
      <alignment vertical="justify" wrapText="1"/>
    </xf>
    <xf numFmtId="0" fontId="66" fillId="0" borderId="0" xfId="0" applyFont="1" applyAlignment="1" applyProtection="1">
      <alignment horizontal="left"/>
    </xf>
    <xf numFmtId="0" fontId="66" fillId="0" borderId="0" xfId="0" applyFont="1" applyBorder="1" applyAlignment="1" applyProtection="1">
      <alignment horizontal="justify" vertical="justify" wrapText="1"/>
    </xf>
    <xf numFmtId="0" fontId="68" fillId="0" borderId="0" xfId="0" applyFont="1" applyAlignment="1" applyProtection="1"/>
    <xf numFmtId="0" fontId="65" fillId="28" borderId="0" xfId="6" applyFont="1" applyFill="1" applyBorder="1" applyProtection="1">
      <alignment horizontal="center"/>
    </xf>
    <xf numFmtId="0" fontId="65" fillId="0" borderId="0" xfId="0" applyFont="1" applyAlignment="1" applyProtection="1">
      <alignment vertical="center"/>
    </xf>
    <xf numFmtId="0" fontId="66" fillId="0" borderId="85" xfId="0" applyFont="1" applyFill="1" applyBorder="1" applyAlignment="1" applyProtection="1">
      <alignment horizontal="centerContinuous" vertical="center" wrapText="1"/>
    </xf>
    <xf numFmtId="0" fontId="66" fillId="0" borderId="85" xfId="0" applyFont="1" applyFill="1" applyBorder="1" applyAlignment="1" applyProtection="1">
      <alignment horizontal="center" vertical="center" wrapText="1"/>
    </xf>
    <xf numFmtId="2" fontId="66" fillId="0" borderId="85" xfId="0" applyNumberFormat="1" applyFont="1" applyBorder="1" applyAlignment="1" applyProtection="1">
      <alignment horizontal="center" vertical="center" wrapText="1"/>
    </xf>
    <xf numFmtId="0" fontId="66" fillId="0" borderId="85" xfId="0" applyFont="1" applyBorder="1" applyAlignment="1" applyProtection="1">
      <alignment horizontal="center" vertical="center" wrapText="1"/>
    </xf>
    <xf numFmtId="0" fontId="66" fillId="0" borderId="84" xfId="0" applyFont="1" applyFill="1" applyBorder="1" applyAlignment="1" applyProtection="1">
      <alignment horizontal="center" vertical="center" wrapText="1"/>
    </xf>
    <xf numFmtId="2" fontId="66" fillId="2" borderId="84" xfId="0" applyNumberFormat="1" applyFont="1" applyFill="1" applyBorder="1" applyAlignment="1" applyProtection="1">
      <alignment horizontal="center" vertical="center" wrapText="1"/>
    </xf>
    <xf numFmtId="0" fontId="66" fillId="2" borderId="84" xfId="0" applyFont="1" applyFill="1" applyBorder="1" applyAlignment="1" applyProtection="1">
      <alignment horizontal="center" vertical="center" wrapText="1"/>
    </xf>
    <xf numFmtId="0" fontId="66" fillId="0" borderId="84" xfId="0" applyFont="1" applyFill="1" applyBorder="1" applyAlignment="1" applyProtection="1">
      <alignment horizontal="centerContinuous" vertical="center" wrapText="1"/>
    </xf>
    <xf numFmtId="165" fontId="66" fillId="2" borderId="84" xfId="0" applyNumberFormat="1" applyFont="1" applyFill="1" applyBorder="1" applyAlignment="1" applyProtection="1">
      <alignment horizontal="center" vertical="center" wrapText="1"/>
    </xf>
    <xf numFmtId="180" fontId="66" fillId="0" borderId="84" xfId="0" applyNumberFormat="1" applyFont="1" applyFill="1" applyBorder="1" applyAlignment="1" applyProtection="1">
      <alignment horizontal="centerContinuous" vertical="center" wrapText="1"/>
    </xf>
    <xf numFmtId="2" fontId="66" fillId="0" borderId="84" xfId="0" applyNumberFormat="1" applyFont="1" applyFill="1" applyBorder="1" applyAlignment="1" applyProtection="1">
      <alignment horizontal="centerContinuous" vertical="center" wrapText="1"/>
    </xf>
    <xf numFmtId="2" fontId="66" fillId="0" borderId="88" xfId="0" applyNumberFormat="1" applyFont="1" applyFill="1" applyBorder="1" applyAlignment="1" applyProtection="1">
      <alignment horizontal="center" vertical="center" wrapText="1"/>
    </xf>
    <xf numFmtId="167" fontId="66" fillId="0" borderId="84" xfId="0" applyNumberFormat="1" applyFont="1" applyFill="1" applyBorder="1" applyAlignment="1" applyProtection="1">
      <alignment horizontal="center" vertical="center" wrapText="1"/>
    </xf>
    <xf numFmtId="2" fontId="66" fillId="0" borderId="84" xfId="0" applyNumberFormat="1" applyFont="1" applyFill="1" applyBorder="1" applyAlignment="1" applyProtection="1">
      <alignment horizontal="center" vertical="center" wrapText="1"/>
    </xf>
    <xf numFmtId="165" fontId="66" fillId="0" borderId="84" xfId="0" applyNumberFormat="1" applyFont="1" applyFill="1" applyBorder="1" applyAlignment="1" applyProtection="1">
      <alignment horizontal="centerContinuous" vertical="center" wrapText="1"/>
    </xf>
    <xf numFmtId="165" fontId="66" fillId="0" borderId="88" xfId="0" applyNumberFormat="1" applyFont="1" applyFill="1" applyBorder="1" applyAlignment="1" applyProtection="1">
      <alignment horizontal="center" vertical="center" wrapText="1"/>
    </xf>
    <xf numFmtId="0" fontId="66" fillId="0" borderId="89" xfId="0" applyFont="1" applyBorder="1" applyAlignment="1" applyProtection="1">
      <alignment horizontal="center" vertical="center" wrapText="1"/>
    </xf>
    <xf numFmtId="0" fontId="66" fillId="0" borderId="101" xfId="0" applyFont="1" applyBorder="1" applyAlignment="1" applyProtection="1">
      <alignment horizontal="center" vertical="center" wrapText="1"/>
    </xf>
    <xf numFmtId="166" fontId="3" fillId="7" borderId="9" xfId="0" applyNumberFormat="1" applyFont="1" applyFill="1" applyBorder="1" applyAlignment="1" applyProtection="1">
      <alignment horizontal="center" vertical="center"/>
      <protection hidden="1"/>
    </xf>
    <xf numFmtId="49" fontId="2" fillId="7" borderId="1" xfId="0" applyNumberFormat="1" applyFont="1" applyFill="1" applyBorder="1" applyAlignment="1" applyProtection="1">
      <alignment horizontal="center" vertical="center"/>
      <protection locked="0" hidden="1"/>
    </xf>
    <xf numFmtId="2" fontId="43" fillId="0" borderId="46" xfId="0" applyNumberFormat="1"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1" fontId="2" fillId="7" borderId="36" xfId="0" applyNumberFormat="1" applyFont="1" applyFill="1" applyBorder="1" applyAlignment="1" applyProtection="1">
      <alignment horizontal="center" vertical="center"/>
      <protection hidden="1"/>
    </xf>
    <xf numFmtId="166" fontId="86" fillId="0" borderId="39" xfId="0" applyNumberFormat="1" applyFont="1" applyFill="1" applyBorder="1" applyAlignment="1" applyProtection="1">
      <alignment horizontal="center" vertical="center" wrapText="1"/>
      <protection hidden="1"/>
    </xf>
    <xf numFmtId="166" fontId="86" fillId="0" borderId="20" xfId="0" applyNumberFormat="1" applyFont="1" applyFill="1" applyBorder="1" applyAlignment="1" applyProtection="1">
      <alignment horizontal="center" vertical="center" wrapText="1"/>
      <protection hidden="1"/>
    </xf>
    <xf numFmtId="165" fontId="24" fillId="7" borderId="32" xfId="0" applyNumberFormat="1" applyFont="1" applyFill="1" applyBorder="1" applyAlignment="1" applyProtection="1">
      <alignment horizontal="center" vertical="center" wrapText="1"/>
      <protection hidden="1"/>
    </xf>
    <xf numFmtId="165" fontId="24" fillId="13" borderId="38" xfId="0" applyNumberFormat="1" applyFont="1" applyFill="1" applyBorder="1" applyAlignment="1" applyProtection="1">
      <alignment horizontal="center" vertical="center" wrapText="1"/>
      <protection hidden="1"/>
    </xf>
    <xf numFmtId="166" fontId="101" fillId="21" borderId="38" xfId="0" applyNumberFormat="1" applyFont="1" applyFill="1" applyBorder="1" applyAlignment="1" applyProtection="1">
      <alignment horizontal="center" vertical="center"/>
    </xf>
    <xf numFmtId="167" fontId="66" fillId="0" borderId="84" xfId="0" applyNumberFormat="1" applyFont="1" applyFill="1" applyBorder="1" applyAlignment="1" applyProtection="1">
      <alignment horizontal="centerContinuous" vertical="center" wrapText="1"/>
    </xf>
    <xf numFmtId="0" fontId="18" fillId="0" borderId="6"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74" fillId="18" borderId="6" xfId="0" applyFont="1" applyFill="1" applyBorder="1" applyAlignment="1" applyProtection="1">
      <alignment horizontal="center" vertical="center" wrapText="1"/>
      <protection hidden="1"/>
    </xf>
    <xf numFmtId="0" fontId="74" fillId="18" borderId="7" xfId="0" applyFont="1" applyFill="1" applyBorder="1" applyAlignment="1" applyProtection="1">
      <alignment horizontal="center" vertical="center" wrapText="1"/>
      <protection hidden="1"/>
    </xf>
    <xf numFmtId="0" fontId="74" fillId="18" borderId="8" xfId="0" applyFont="1" applyFill="1" applyBorder="1" applyAlignment="1" applyProtection="1">
      <alignment horizontal="center" vertical="center" wrapText="1"/>
      <protection hidden="1"/>
    </xf>
    <xf numFmtId="0" fontId="11" fillId="18" borderId="6" xfId="0" applyFont="1" applyFill="1" applyBorder="1" applyAlignment="1" applyProtection="1">
      <alignment horizontal="center" vertical="center"/>
      <protection hidden="1"/>
    </xf>
    <xf numFmtId="0" fontId="11" fillId="18" borderId="7" xfId="0" applyFont="1" applyFill="1" applyBorder="1" applyAlignment="1" applyProtection="1">
      <alignment horizontal="center" vertical="center"/>
      <protection hidden="1"/>
    </xf>
    <xf numFmtId="0" fontId="11" fillId="18" borderId="8" xfId="0" applyFont="1" applyFill="1" applyBorder="1" applyAlignment="1" applyProtection="1">
      <alignment horizontal="center" vertical="center"/>
      <protection hidden="1"/>
    </xf>
    <xf numFmtId="0" fontId="43" fillId="19" borderId="6" xfId="0" applyFont="1" applyFill="1" applyBorder="1" applyAlignment="1" applyProtection="1">
      <alignment horizontal="center" vertical="center"/>
      <protection hidden="1"/>
    </xf>
    <xf numFmtId="0" fontId="43" fillId="19" borderId="7" xfId="0" applyFont="1" applyFill="1" applyBorder="1" applyAlignment="1" applyProtection="1">
      <alignment horizontal="center" vertical="center"/>
      <protection hidden="1"/>
    </xf>
    <xf numFmtId="0" fontId="43" fillId="19" borderId="8" xfId="0" applyFont="1" applyFill="1" applyBorder="1" applyAlignment="1" applyProtection="1">
      <alignment horizontal="center" vertical="center"/>
      <protection hidden="1"/>
    </xf>
    <xf numFmtId="0" fontId="43" fillId="0" borderId="33" xfId="0" applyFont="1" applyFill="1" applyBorder="1" applyAlignment="1" applyProtection="1">
      <alignment horizontal="center"/>
      <protection hidden="1"/>
    </xf>
    <xf numFmtId="0" fontId="43" fillId="0" borderId="50" xfId="0" applyFont="1" applyFill="1" applyBorder="1" applyAlignment="1" applyProtection="1">
      <alignment horizontal="center"/>
      <protection hidden="1"/>
    </xf>
    <xf numFmtId="0" fontId="43" fillId="0" borderId="33" xfId="0" applyFont="1" applyFill="1" applyBorder="1" applyAlignment="1" applyProtection="1">
      <alignment horizontal="center" vertical="center"/>
      <protection hidden="1"/>
    </xf>
    <xf numFmtId="0" fontId="43" fillId="0" borderId="61" xfId="0" applyFont="1" applyFill="1" applyBorder="1" applyAlignment="1" applyProtection="1">
      <alignment horizontal="center" vertical="center"/>
      <protection hidden="1"/>
    </xf>
    <xf numFmtId="0" fontId="43" fillId="0" borderId="56" xfId="0" applyFont="1" applyFill="1" applyBorder="1" applyAlignment="1" applyProtection="1">
      <alignment horizontal="center" vertical="center"/>
      <protection hidden="1"/>
    </xf>
    <xf numFmtId="0" fontId="73" fillId="0" borderId="76" xfId="0" applyFont="1" applyBorder="1" applyAlignment="1" applyProtection="1">
      <alignment horizontal="center" vertical="center" textRotation="90" wrapText="1"/>
      <protection hidden="1"/>
    </xf>
    <xf numFmtId="0" fontId="73" fillId="0" borderId="75" xfId="0" applyFont="1" applyBorder="1" applyAlignment="1" applyProtection="1">
      <alignment horizontal="center" vertical="center" textRotation="90" wrapText="1"/>
      <protection hidden="1"/>
    </xf>
    <xf numFmtId="0" fontId="74" fillId="18" borderId="2" xfId="0" applyFont="1" applyFill="1" applyBorder="1" applyAlignment="1" applyProtection="1">
      <alignment horizontal="center" vertical="center" wrapText="1"/>
      <protection hidden="1"/>
    </xf>
    <xf numFmtId="0" fontId="74" fillId="18" borderId="3" xfId="0" applyFont="1" applyFill="1" applyBorder="1" applyAlignment="1" applyProtection="1">
      <alignment horizontal="center" vertical="center" wrapText="1"/>
      <protection hidden="1"/>
    </xf>
    <xf numFmtId="0" fontId="74" fillId="18" borderId="4" xfId="0" applyFont="1" applyFill="1" applyBorder="1" applyAlignment="1" applyProtection="1">
      <alignment horizontal="center" vertical="center" wrapText="1"/>
      <protection hidden="1"/>
    </xf>
    <xf numFmtId="0" fontId="74" fillId="18" borderId="49" xfId="0" applyFont="1" applyFill="1" applyBorder="1" applyAlignment="1" applyProtection="1">
      <alignment horizontal="center" vertical="center" wrapText="1"/>
      <protection hidden="1"/>
    </xf>
    <xf numFmtId="0" fontId="74" fillId="18" borderId="5" xfId="0" applyFont="1" applyFill="1" applyBorder="1" applyAlignment="1" applyProtection="1">
      <alignment horizontal="center" vertical="center" wrapText="1"/>
      <protection hidden="1"/>
    </xf>
    <xf numFmtId="0" fontId="74" fillId="18" borderId="40" xfId="0" applyFont="1" applyFill="1" applyBorder="1" applyAlignment="1" applyProtection="1">
      <alignment horizontal="center" vertical="center" wrapText="1"/>
      <protection hidden="1"/>
    </xf>
    <xf numFmtId="0" fontId="43" fillId="0" borderId="9" xfId="0" applyFont="1" applyFill="1" applyBorder="1" applyAlignment="1" applyProtection="1">
      <alignment horizontal="center" vertical="center"/>
      <protection hidden="1"/>
    </xf>
    <xf numFmtId="0" fontId="43" fillId="0" borderId="36" xfId="0" applyFont="1" applyFill="1" applyBorder="1" applyAlignment="1" applyProtection="1">
      <alignment horizontal="center" vertical="center"/>
      <protection hidden="1"/>
    </xf>
    <xf numFmtId="0" fontId="43" fillId="0" borderId="46" xfId="0" applyFont="1" applyFill="1" applyBorder="1" applyAlignment="1" applyProtection="1">
      <alignment horizontal="center" vertical="center"/>
      <protection hidden="1"/>
    </xf>
    <xf numFmtId="0" fontId="43" fillId="0" borderId="39" xfId="0" applyFont="1" applyFill="1" applyBorder="1" applyAlignment="1" applyProtection="1">
      <alignment horizontal="center" vertical="center"/>
      <protection hidden="1"/>
    </xf>
    <xf numFmtId="0" fontId="43" fillId="0" borderId="0" xfId="0" applyFont="1" applyFill="1" applyBorder="1" applyAlignment="1" applyProtection="1">
      <alignment horizontal="center" vertical="center"/>
      <protection hidden="1"/>
    </xf>
    <xf numFmtId="0" fontId="22" fillId="19" borderId="2" xfId="0" applyFont="1" applyFill="1" applyBorder="1" applyAlignment="1" applyProtection="1">
      <alignment horizontal="center" vertical="center" wrapText="1"/>
      <protection hidden="1"/>
    </xf>
    <xf numFmtId="0" fontId="22" fillId="19" borderId="3" xfId="0" applyFont="1" applyFill="1" applyBorder="1" applyAlignment="1" applyProtection="1">
      <alignment horizontal="center" vertical="center" wrapText="1"/>
      <protection hidden="1"/>
    </xf>
    <xf numFmtId="0" fontId="22" fillId="19" borderId="4" xfId="0" applyFont="1" applyFill="1" applyBorder="1" applyAlignment="1" applyProtection="1">
      <alignment horizontal="center" vertical="center" wrapText="1"/>
      <protection hidden="1"/>
    </xf>
    <xf numFmtId="0" fontId="20" fillId="19" borderId="6" xfId="0" applyFont="1" applyFill="1" applyBorder="1" applyAlignment="1" applyProtection="1">
      <alignment horizontal="center" vertical="center"/>
      <protection hidden="1"/>
    </xf>
    <xf numFmtId="0" fontId="20" fillId="19" borderId="7" xfId="0" applyFont="1" applyFill="1" applyBorder="1" applyAlignment="1" applyProtection="1">
      <alignment horizontal="center" vertical="center"/>
      <protection hidden="1"/>
    </xf>
    <xf numFmtId="0" fontId="20" fillId="19" borderId="8" xfId="0" applyFont="1" applyFill="1" applyBorder="1" applyAlignment="1" applyProtection="1">
      <alignment horizontal="center" vertical="center"/>
      <protection hidden="1"/>
    </xf>
    <xf numFmtId="0" fontId="74" fillId="18" borderId="6" xfId="0" applyFont="1" applyFill="1" applyBorder="1" applyAlignment="1" applyProtection="1">
      <alignment horizontal="center" vertical="center"/>
      <protection hidden="1"/>
    </xf>
    <xf numFmtId="0" fontId="74" fillId="18" borderId="7" xfId="0" applyFont="1" applyFill="1" applyBorder="1" applyAlignment="1" applyProtection="1">
      <alignment horizontal="center" vertical="center"/>
      <protection hidden="1"/>
    </xf>
    <xf numFmtId="0" fontId="74" fillId="18" borderId="8" xfId="0" applyFont="1" applyFill="1" applyBorder="1" applyAlignment="1" applyProtection="1">
      <alignment horizontal="center" vertical="center"/>
      <protection hidden="1"/>
    </xf>
    <xf numFmtId="0" fontId="77" fillId="18" borderId="6" xfId="0" applyFont="1" applyFill="1" applyBorder="1" applyAlignment="1" applyProtection="1">
      <alignment horizontal="center" vertical="center"/>
      <protection hidden="1"/>
    </xf>
    <xf numFmtId="0" fontId="77" fillId="18" borderId="7" xfId="0" applyFont="1" applyFill="1" applyBorder="1" applyAlignment="1" applyProtection="1">
      <alignment horizontal="center" vertical="center"/>
      <protection hidden="1"/>
    </xf>
    <xf numFmtId="0" fontId="77" fillId="18" borderId="8" xfId="0" applyFont="1" applyFill="1" applyBorder="1" applyAlignment="1" applyProtection="1">
      <alignment horizontal="center" vertical="center"/>
      <protection hidden="1"/>
    </xf>
    <xf numFmtId="0" fontId="20" fillId="0" borderId="76" xfId="0" applyFont="1" applyBorder="1" applyAlignment="1" applyProtection="1">
      <alignment horizontal="center" vertical="center" textRotation="90" wrapText="1"/>
      <protection hidden="1"/>
    </xf>
    <xf numFmtId="0" fontId="20" fillId="0" borderId="75" xfId="0" applyFont="1" applyBorder="1" applyAlignment="1" applyProtection="1">
      <alignment horizontal="center" vertical="center" textRotation="90" wrapText="1"/>
      <protection hidden="1"/>
    </xf>
    <xf numFmtId="0" fontId="20" fillId="0" borderId="52" xfId="0" applyFont="1" applyBorder="1" applyAlignment="1" applyProtection="1">
      <alignment horizontal="center" vertical="center" textRotation="90" wrapText="1"/>
      <protection hidden="1"/>
    </xf>
    <xf numFmtId="0" fontId="73" fillId="0" borderId="72" xfId="0" applyFont="1" applyBorder="1" applyAlignment="1" applyProtection="1">
      <alignment horizontal="center" vertical="center"/>
      <protection hidden="1"/>
    </xf>
    <xf numFmtId="0" fontId="73" fillId="0" borderId="15" xfId="0" applyFont="1" applyBorder="1" applyAlignment="1" applyProtection="1">
      <alignment horizontal="center" vertical="center"/>
      <protection hidden="1"/>
    </xf>
    <xf numFmtId="0" fontId="73" fillId="0" borderId="55" xfId="0" applyFont="1" applyBorder="1" applyAlignment="1" applyProtection="1">
      <alignment horizontal="center" vertical="center"/>
      <protection hidden="1"/>
    </xf>
    <xf numFmtId="14" fontId="43" fillId="0" borderId="78" xfId="0" applyNumberFormat="1" applyFont="1" applyBorder="1" applyAlignment="1" applyProtection="1">
      <alignment horizontal="center" vertical="center"/>
      <protection hidden="1"/>
    </xf>
    <xf numFmtId="14" fontId="43" fillId="0" borderId="68" xfId="0" applyNumberFormat="1" applyFont="1" applyBorder="1" applyAlignment="1" applyProtection="1">
      <alignment horizontal="center" vertical="center"/>
      <protection hidden="1"/>
    </xf>
    <xf numFmtId="14" fontId="43" fillId="0" borderId="83" xfId="0" applyNumberFormat="1" applyFont="1" applyBorder="1" applyAlignment="1" applyProtection="1">
      <alignment horizontal="center" vertical="center"/>
      <protection hidden="1"/>
    </xf>
    <xf numFmtId="0" fontId="43" fillId="0" borderId="76" xfId="0" applyFont="1" applyBorder="1" applyAlignment="1" applyProtection="1">
      <alignment horizontal="center" vertical="center" textRotation="90" wrapText="1"/>
      <protection hidden="1"/>
    </xf>
    <xf numFmtId="0" fontId="43" fillId="0" borderId="75" xfId="0" applyFont="1" applyBorder="1" applyAlignment="1" applyProtection="1">
      <alignment horizontal="center" vertical="center" textRotation="90" wrapText="1"/>
      <protection hidden="1"/>
    </xf>
    <xf numFmtId="0" fontId="43" fillId="0" borderId="52" xfId="0" applyFont="1" applyBorder="1" applyAlignment="1" applyProtection="1">
      <alignment horizontal="center" vertical="center" textRotation="90" wrapText="1"/>
      <protection hidden="1"/>
    </xf>
    <xf numFmtId="0" fontId="43" fillId="2" borderId="76" xfId="0" applyFont="1" applyFill="1" applyBorder="1" applyAlignment="1" applyProtection="1">
      <alignment horizontal="center" vertical="center" textRotation="90"/>
      <protection hidden="1"/>
    </xf>
    <xf numFmtId="0" fontId="43" fillId="2" borderId="10" xfId="0" applyFont="1" applyFill="1" applyBorder="1" applyAlignment="1" applyProtection="1">
      <alignment horizontal="center" vertical="center" textRotation="90"/>
      <protection hidden="1"/>
    </xf>
    <xf numFmtId="0" fontId="43" fillId="2" borderId="75" xfId="0" applyFont="1" applyFill="1" applyBorder="1" applyAlignment="1" applyProtection="1">
      <alignment horizontal="center" vertical="center" textRotation="90"/>
      <protection hidden="1"/>
    </xf>
    <xf numFmtId="0" fontId="43" fillId="2" borderId="52" xfId="0" applyFont="1" applyFill="1" applyBorder="1" applyAlignment="1" applyProtection="1">
      <alignment horizontal="center" vertical="center" textRotation="90"/>
      <protection hidden="1"/>
    </xf>
    <xf numFmtId="0" fontId="73" fillId="2" borderId="42" xfId="0" applyFont="1" applyFill="1" applyBorder="1" applyAlignment="1" applyProtection="1">
      <alignment horizontal="center" vertical="center"/>
      <protection hidden="1"/>
    </xf>
    <xf numFmtId="0" fontId="73" fillId="2" borderId="9" xfId="0" applyFont="1" applyFill="1" applyBorder="1" applyAlignment="1" applyProtection="1">
      <alignment horizontal="center" vertical="center"/>
      <protection hidden="1"/>
    </xf>
    <xf numFmtId="0" fontId="73" fillId="2" borderId="46" xfId="0" applyFont="1" applyFill="1" applyBorder="1" applyAlignment="1" applyProtection="1">
      <alignment horizontal="center" vertical="center"/>
      <protection hidden="1"/>
    </xf>
    <xf numFmtId="0" fontId="73" fillId="2" borderId="30" xfId="0" applyFont="1" applyFill="1" applyBorder="1" applyAlignment="1" applyProtection="1">
      <alignment horizontal="center" vertical="center"/>
      <protection hidden="1"/>
    </xf>
    <xf numFmtId="0" fontId="73" fillId="2" borderId="24" xfId="0" applyFont="1" applyFill="1" applyBorder="1" applyAlignment="1" applyProtection="1">
      <alignment horizontal="center" vertical="center"/>
      <protection hidden="1"/>
    </xf>
    <xf numFmtId="0" fontId="73" fillId="2" borderId="48" xfId="0" applyFont="1" applyFill="1" applyBorder="1" applyAlignment="1" applyProtection="1">
      <alignment horizontal="center" vertical="center"/>
      <protection hidden="1"/>
    </xf>
    <xf numFmtId="0" fontId="43" fillId="0" borderId="76" xfId="0" applyFont="1" applyBorder="1" applyAlignment="1" applyProtection="1">
      <alignment horizontal="center" vertical="center" textRotation="90"/>
      <protection hidden="1"/>
    </xf>
    <xf numFmtId="0" fontId="43" fillId="0" borderId="10" xfId="0" applyFont="1" applyBorder="1" applyAlignment="1" applyProtection="1">
      <alignment horizontal="center" vertical="center" textRotation="90"/>
      <protection hidden="1"/>
    </xf>
    <xf numFmtId="0" fontId="43" fillId="0" borderId="49" xfId="0" applyFont="1" applyBorder="1" applyAlignment="1" applyProtection="1">
      <alignment horizontal="center" vertical="center" textRotation="90"/>
      <protection hidden="1"/>
    </xf>
    <xf numFmtId="0" fontId="43" fillId="0" borderId="2" xfId="0" applyFont="1" applyBorder="1" applyAlignment="1" applyProtection="1">
      <alignment horizontal="center" vertical="center" textRotation="90"/>
      <protection hidden="1"/>
    </xf>
    <xf numFmtId="0" fontId="43" fillId="0" borderId="10" xfId="0" applyFont="1" applyBorder="1" applyAlignment="1" applyProtection="1">
      <alignment horizontal="center" vertical="center" textRotation="90" wrapText="1"/>
      <protection hidden="1"/>
    </xf>
    <xf numFmtId="0" fontId="43" fillId="0" borderId="49" xfId="0" applyFont="1" applyBorder="1" applyAlignment="1" applyProtection="1">
      <alignment horizontal="center" vertical="center" textRotation="90" wrapText="1"/>
      <protection hidden="1"/>
    </xf>
    <xf numFmtId="0" fontId="22" fillId="0" borderId="2" xfId="0" applyFont="1" applyBorder="1" applyAlignment="1" applyProtection="1">
      <alignment horizontal="center" vertical="center" textRotation="90" wrapText="1"/>
      <protection hidden="1"/>
    </xf>
    <xf numFmtId="0" fontId="22" fillId="0" borderId="10" xfId="0" applyFont="1" applyBorder="1" applyAlignment="1" applyProtection="1">
      <alignment horizontal="center" vertical="center" textRotation="90" wrapText="1"/>
      <protection hidden="1"/>
    </xf>
    <xf numFmtId="0" fontId="22" fillId="0" borderId="49" xfId="0" applyFont="1" applyBorder="1" applyAlignment="1" applyProtection="1">
      <alignment horizontal="center" vertical="center" textRotation="90" wrapText="1"/>
      <protection hidden="1"/>
    </xf>
    <xf numFmtId="0" fontId="73" fillId="0" borderId="42" xfId="0" applyFont="1" applyBorder="1" applyAlignment="1" applyProtection="1">
      <alignment horizontal="center" vertical="center"/>
      <protection hidden="1"/>
    </xf>
    <xf numFmtId="0" fontId="73" fillId="0" borderId="9" xfId="0" applyFont="1" applyBorder="1" applyAlignment="1" applyProtection="1">
      <alignment horizontal="center" vertical="center"/>
      <protection hidden="1"/>
    </xf>
    <xf numFmtId="0" fontId="73" fillId="0" borderId="46" xfId="0" applyFont="1" applyBorder="1" applyAlignment="1" applyProtection="1">
      <alignment horizontal="center" vertical="center"/>
      <protection hidden="1"/>
    </xf>
    <xf numFmtId="0" fontId="22" fillId="2" borderId="2" xfId="0" applyFont="1" applyFill="1" applyBorder="1" applyAlignment="1" applyProtection="1">
      <alignment horizontal="center" vertical="center" textRotation="90" wrapText="1"/>
      <protection hidden="1"/>
    </xf>
    <xf numFmtId="0" fontId="22" fillId="2" borderId="10" xfId="0" applyFont="1" applyFill="1" applyBorder="1" applyAlignment="1" applyProtection="1">
      <alignment horizontal="center" vertical="center" textRotation="90" wrapText="1"/>
      <protection hidden="1"/>
    </xf>
    <xf numFmtId="0" fontId="22" fillId="2" borderId="49" xfId="0" applyFont="1" applyFill="1" applyBorder="1" applyAlignment="1" applyProtection="1">
      <alignment horizontal="center" vertical="center" textRotation="90" wrapText="1"/>
      <protection hidden="1"/>
    </xf>
    <xf numFmtId="170" fontId="73" fillId="0" borderId="42" xfId="0" applyNumberFormat="1" applyFont="1" applyBorder="1" applyAlignment="1" applyProtection="1">
      <alignment horizontal="center" vertical="center" wrapText="1"/>
      <protection hidden="1"/>
    </xf>
    <xf numFmtId="170" fontId="73" fillId="0" borderId="9" xfId="0" applyNumberFormat="1" applyFont="1" applyBorder="1" applyAlignment="1" applyProtection="1">
      <alignment horizontal="center" vertical="center" wrapText="1"/>
      <protection hidden="1"/>
    </xf>
    <xf numFmtId="170" fontId="73" fillId="0" borderId="46" xfId="0" applyNumberFormat="1" applyFont="1" applyBorder="1" applyAlignment="1" applyProtection="1">
      <alignment horizontal="center" vertical="center" wrapText="1"/>
      <protection hidden="1"/>
    </xf>
    <xf numFmtId="0" fontId="73" fillId="0" borderId="43" xfId="0" applyFont="1" applyBorder="1" applyAlignment="1" applyProtection="1">
      <alignment horizontal="center" vertical="center" wrapText="1"/>
      <protection hidden="1"/>
    </xf>
    <xf numFmtId="0" fontId="73" fillId="0" borderId="36" xfId="0" applyFont="1" applyBorder="1" applyAlignment="1" applyProtection="1">
      <alignment horizontal="center" vertical="center" wrapText="1"/>
      <protection hidden="1"/>
    </xf>
    <xf numFmtId="0" fontId="73" fillId="0" borderId="39" xfId="0" applyFont="1" applyBorder="1" applyAlignment="1" applyProtection="1">
      <alignment horizontal="center" vertical="center" wrapText="1"/>
      <protection hidden="1"/>
    </xf>
    <xf numFmtId="170" fontId="43" fillId="2" borderId="9" xfId="0" applyNumberFormat="1" applyFont="1" applyFill="1" applyBorder="1" applyAlignment="1" applyProtection="1">
      <alignment horizontal="center" vertical="center" wrapText="1"/>
      <protection hidden="1"/>
    </xf>
    <xf numFmtId="0" fontId="0" fillId="2" borderId="9" xfId="0" applyFill="1" applyBorder="1" applyAlignment="1" applyProtection="1">
      <alignment horizontal="center" vertical="center" wrapText="1"/>
      <protection hidden="1"/>
    </xf>
    <xf numFmtId="0" fontId="0" fillId="2" borderId="46" xfId="0" applyFill="1" applyBorder="1" applyAlignment="1" applyProtection="1">
      <alignment horizontal="center" vertical="center" wrapText="1"/>
      <protection hidden="1"/>
    </xf>
    <xf numFmtId="170" fontId="43" fillId="2" borderId="36" xfId="0" applyNumberFormat="1" applyFont="1" applyFill="1" applyBorder="1" applyAlignment="1" applyProtection="1">
      <alignment horizontal="center" vertical="center" wrapText="1"/>
      <protection hidden="1"/>
    </xf>
    <xf numFmtId="0" fontId="0" fillId="2" borderId="36" xfId="0" applyFill="1" applyBorder="1" applyAlignment="1" applyProtection="1">
      <alignment horizontal="center" vertical="center" wrapText="1"/>
      <protection hidden="1"/>
    </xf>
    <xf numFmtId="0" fontId="0" fillId="2" borderId="39" xfId="0" applyFill="1" applyBorder="1" applyAlignment="1" applyProtection="1">
      <alignment horizontal="center" vertical="center" wrapText="1"/>
      <protection hidden="1"/>
    </xf>
    <xf numFmtId="3" fontId="43" fillId="31" borderId="44" xfId="0" applyNumberFormat="1" applyFont="1" applyFill="1" applyBorder="1" applyAlignment="1" applyProtection="1">
      <alignment horizontal="center" vertical="center" wrapText="1"/>
      <protection hidden="1"/>
    </xf>
    <xf numFmtId="0" fontId="0" fillId="31" borderId="47" xfId="0" applyFill="1" applyBorder="1" applyAlignment="1" applyProtection="1">
      <alignment horizontal="center" vertical="center" wrapText="1"/>
      <protection hidden="1"/>
    </xf>
    <xf numFmtId="170" fontId="43" fillId="15" borderId="42" xfId="0" applyNumberFormat="1" applyFont="1" applyFill="1" applyBorder="1" applyAlignment="1" applyProtection="1">
      <alignment horizontal="center" vertical="center" wrapText="1"/>
      <protection hidden="1"/>
    </xf>
    <xf numFmtId="0" fontId="0" fillId="15" borderId="9" xfId="0" applyFill="1" applyBorder="1" applyAlignment="1" applyProtection="1">
      <alignment horizontal="center" vertical="center" wrapText="1"/>
      <protection hidden="1"/>
    </xf>
    <xf numFmtId="0" fontId="43" fillId="15" borderId="78" xfId="0" applyFont="1" applyFill="1" applyBorder="1" applyAlignment="1" applyProtection="1">
      <alignment horizontal="center" vertical="center" wrapText="1"/>
      <protection hidden="1"/>
    </xf>
    <xf numFmtId="0" fontId="0" fillId="15" borderId="68" xfId="0" applyFill="1" applyBorder="1" applyAlignment="1" applyProtection="1">
      <alignment horizontal="center" vertical="center" wrapText="1"/>
      <protection hidden="1"/>
    </xf>
    <xf numFmtId="0" fontId="0" fillId="15" borderId="38" xfId="0" applyFill="1" applyBorder="1" applyAlignment="1" applyProtection="1">
      <alignment horizontal="center" vertical="center" wrapText="1"/>
      <protection hidden="1"/>
    </xf>
    <xf numFmtId="0" fontId="74" fillId="29" borderId="34" xfId="0" applyFont="1" applyFill="1" applyBorder="1" applyAlignment="1" applyProtection="1">
      <alignment horizontal="center" vertical="center"/>
      <protection hidden="1"/>
    </xf>
    <xf numFmtId="0" fontId="74" fillId="29" borderId="9" xfId="0" applyFont="1" applyFill="1" applyBorder="1" applyAlignment="1" applyProtection="1">
      <alignment horizontal="center" vertical="center"/>
      <protection hidden="1"/>
    </xf>
    <xf numFmtId="0" fontId="43" fillId="15" borderId="9" xfId="0" applyFont="1" applyFill="1" applyBorder="1" applyAlignment="1" applyProtection="1">
      <alignment horizontal="center" vertical="center" wrapText="1"/>
      <protection hidden="1"/>
    </xf>
    <xf numFmtId="0" fontId="20" fillId="29" borderId="41" xfId="0" applyFont="1" applyFill="1" applyBorder="1" applyAlignment="1" applyProtection="1">
      <alignment horizontal="center" vertical="center"/>
      <protection hidden="1"/>
    </xf>
    <xf numFmtId="0" fontId="73" fillId="29" borderId="42" xfId="0" applyFont="1" applyFill="1" applyBorder="1" applyAlignment="1" applyProtection="1">
      <alignment horizontal="center" vertical="center"/>
      <protection hidden="1"/>
    </xf>
    <xf numFmtId="0" fontId="73" fillId="29" borderId="34" xfId="0" applyFont="1" applyFill="1" applyBorder="1" applyAlignment="1" applyProtection="1">
      <alignment horizontal="center" vertical="center"/>
      <protection hidden="1"/>
    </xf>
    <xf numFmtId="0" fontId="73" fillId="29" borderId="9" xfId="0" applyFont="1" applyFill="1" applyBorder="1" applyAlignment="1" applyProtection="1">
      <alignment horizontal="center" vertical="center"/>
      <protection hidden="1"/>
    </xf>
    <xf numFmtId="0" fontId="43" fillId="29" borderId="72" xfId="0" applyFont="1" applyFill="1"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0" fontId="73" fillId="29" borderId="46" xfId="0" applyFont="1" applyFill="1" applyBorder="1" applyAlignment="1" applyProtection="1">
      <alignment horizontal="center" vertical="center"/>
      <protection hidden="1"/>
    </xf>
    <xf numFmtId="49" fontId="43" fillId="15" borderId="72" xfId="0" applyNumberFormat="1" applyFont="1" applyFill="1" applyBorder="1" applyAlignment="1" applyProtection="1">
      <alignment horizontal="center" vertical="center" wrapText="1"/>
      <protection hidden="1"/>
    </xf>
    <xf numFmtId="0" fontId="0" fillId="15" borderId="15" xfId="0" applyFill="1" applyBorder="1" applyAlignment="1" applyProtection="1">
      <alignment horizontal="center" vertical="center" wrapText="1"/>
      <protection hidden="1"/>
    </xf>
    <xf numFmtId="0" fontId="0" fillId="15" borderId="55" xfId="0" applyFill="1" applyBorder="1" applyAlignment="1" applyProtection="1">
      <alignment horizontal="center" vertical="center" wrapText="1"/>
      <protection hidden="1"/>
    </xf>
    <xf numFmtId="0" fontId="43" fillId="15" borderId="42" xfId="0" applyFont="1" applyFill="1" applyBorder="1" applyAlignment="1" applyProtection="1">
      <alignment horizontal="center" vertical="center" wrapText="1"/>
      <protection hidden="1"/>
    </xf>
    <xf numFmtId="0" fontId="74" fillId="29" borderId="45" xfId="0" applyFont="1" applyFill="1" applyBorder="1" applyAlignment="1" applyProtection="1">
      <alignment horizontal="center" vertical="center"/>
      <protection hidden="1"/>
    </xf>
    <xf numFmtId="0" fontId="74" fillId="29" borderId="46" xfId="0" applyFont="1" applyFill="1" applyBorder="1" applyAlignment="1" applyProtection="1">
      <alignment horizontal="center" vertical="center"/>
      <protection hidden="1"/>
    </xf>
    <xf numFmtId="0" fontId="43" fillId="2" borderId="9" xfId="0" applyFont="1" applyFill="1" applyBorder="1" applyAlignment="1" applyProtection="1">
      <alignment horizontal="center" vertical="center" wrapText="1"/>
      <protection hidden="1"/>
    </xf>
    <xf numFmtId="1" fontId="43" fillId="2" borderId="9" xfId="0" applyNumberFormat="1" applyFont="1" applyFill="1" applyBorder="1" applyAlignment="1" applyProtection="1">
      <alignment horizontal="center" vertical="center" wrapText="1"/>
      <protection hidden="1"/>
    </xf>
    <xf numFmtId="1" fontId="0" fillId="2" borderId="9" xfId="0" applyNumberFormat="1" applyFill="1" applyBorder="1" applyAlignment="1" applyProtection="1">
      <alignment horizontal="center" vertical="center" wrapText="1"/>
      <protection hidden="1"/>
    </xf>
    <xf numFmtId="1" fontId="0" fillId="2" borderId="46" xfId="0" applyNumberFormat="1" applyFill="1" applyBorder="1" applyAlignment="1" applyProtection="1">
      <alignment horizontal="center" vertical="center" wrapText="1"/>
      <protection hidden="1"/>
    </xf>
    <xf numFmtId="167" fontId="43" fillId="15" borderId="9" xfId="0" applyNumberFormat="1" applyFont="1" applyFill="1" applyBorder="1" applyAlignment="1" applyProtection="1">
      <alignment horizontal="center" vertical="center" wrapText="1"/>
      <protection hidden="1"/>
    </xf>
    <xf numFmtId="167" fontId="0" fillId="15" borderId="9" xfId="0" applyNumberFormat="1" applyFill="1" applyBorder="1" applyAlignment="1" applyProtection="1">
      <alignment horizontal="center" vertical="center" wrapText="1"/>
      <protection hidden="1"/>
    </xf>
    <xf numFmtId="3" fontId="43" fillId="15" borderId="72" xfId="0" applyNumberFormat="1" applyFont="1" applyFill="1" applyBorder="1" applyAlignment="1" applyProtection="1">
      <alignment horizontal="center" vertical="center" wrapText="1"/>
      <protection hidden="1"/>
    </xf>
    <xf numFmtId="167" fontId="43" fillId="15" borderId="42" xfId="0" applyNumberFormat="1" applyFont="1" applyFill="1" applyBorder="1" applyAlignment="1" applyProtection="1">
      <alignment horizontal="center" vertical="center" wrapText="1"/>
      <protection hidden="1"/>
    </xf>
    <xf numFmtId="0" fontId="43" fillId="15" borderId="43" xfId="0" applyFont="1" applyFill="1" applyBorder="1" applyAlignment="1" applyProtection="1">
      <alignment horizontal="center" vertical="center" wrapText="1"/>
      <protection hidden="1"/>
    </xf>
    <xf numFmtId="0" fontId="0" fillId="15" borderId="36" xfId="0" applyFill="1" applyBorder="1" applyAlignment="1" applyProtection="1">
      <alignment horizontal="center" vertical="center" wrapText="1"/>
      <protection hidden="1"/>
    </xf>
    <xf numFmtId="0" fontId="74" fillId="29" borderId="2" xfId="0" applyFont="1" applyFill="1" applyBorder="1" applyAlignment="1" applyProtection="1">
      <alignment horizontal="center" vertical="center"/>
      <protection hidden="1"/>
    </xf>
    <xf numFmtId="0" fontId="74" fillId="29" borderId="3" xfId="0" applyFont="1" applyFill="1" applyBorder="1" applyAlignment="1" applyProtection="1">
      <alignment horizontal="center" vertical="center"/>
      <protection hidden="1"/>
    </xf>
    <xf numFmtId="0" fontId="74" fillId="29" borderId="10" xfId="0" applyFont="1" applyFill="1" applyBorder="1" applyAlignment="1" applyProtection="1">
      <alignment horizontal="center" vertical="center"/>
      <protection hidden="1"/>
    </xf>
    <xf numFmtId="0" fontId="74" fillId="29" borderId="0" xfId="0" applyFont="1" applyFill="1" applyBorder="1" applyAlignment="1" applyProtection="1">
      <alignment horizontal="center" vertical="center"/>
      <protection hidden="1"/>
    </xf>
    <xf numFmtId="0" fontId="74" fillId="29" borderId="49" xfId="0" applyFont="1" applyFill="1" applyBorder="1" applyAlignment="1" applyProtection="1">
      <alignment horizontal="center" vertical="center"/>
      <protection hidden="1"/>
    </xf>
    <xf numFmtId="0" fontId="74" fillId="29" borderId="5" xfId="0" applyFont="1" applyFill="1" applyBorder="1" applyAlignment="1" applyProtection="1">
      <alignment horizontal="center" vertical="center"/>
      <protection hidden="1"/>
    </xf>
    <xf numFmtId="170" fontId="43" fillId="15" borderId="9" xfId="0" applyNumberFormat="1" applyFont="1" applyFill="1" applyBorder="1" applyAlignment="1" applyProtection="1">
      <alignment horizontal="center" vertical="center" wrapText="1"/>
      <protection hidden="1"/>
    </xf>
    <xf numFmtId="0" fontId="43" fillId="15" borderId="36" xfId="0" applyFont="1" applyFill="1" applyBorder="1" applyAlignment="1" applyProtection="1">
      <alignment horizontal="center" vertical="center" wrapText="1"/>
      <protection hidden="1"/>
    </xf>
    <xf numFmtId="0" fontId="20" fillId="29" borderId="2" xfId="0" applyFont="1" applyFill="1" applyBorder="1" applyAlignment="1" applyProtection="1">
      <alignment horizontal="center" vertical="center"/>
      <protection hidden="1"/>
    </xf>
    <xf numFmtId="0" fontId="20" fillId="29" borderId="3" xfId="0" applyFont="1" applyFill="1" applyBorder="1" applyAlignment="1" applyProtection="1">
      <alignment horizontal="center" vertical="center"/>
      <protection hidden="1"/>
    </xf>
    <xf numFmtId="0" fontId="20" fillId="29" borderId="10" xfId="0" applyFont="1" applyFill="1" applyBorder="1" applyAlignment="1" applyProtection="1">
      <alignment horizontal="center" vertical="center"/>
      <protection hidden="1"/>
    </xf>
    <xf numFmtId="0" fontId="20" fillId="29" borderId="0" xfId="0" applyFont="1" applyFill="1" applyBorder="1" applyAlignment="1" applyProtection="1">
      <alignment horizontal="center" vertical="center"/>
      <protection hidden="1"/>
    </xf>
    <xf numFmtId="0" fontId="20" fillId="29" borderId="49" xfId="0" applyFont="1" applyFill="1" applyBorder="1" applyAlignment="1" applyProtection="1">
      <alignment horizontal="center" vertical="center"/>
      <protection hidden="1"/>
    </xf>
    <xf numFmtId="0" fontId="20" fillId="29" borderId="5" xfId="0" applyFont="1" applyFill="1" applyBorder="1" applyAlignment="1" applyProtection="1">
      <alignment horizontal="center" vertical="center"/>
      <protection hidden="1"/>
    </xf>
    <xf numFmtId="0" fontId="43" fillId="29" borderId="77" xfId="0" applyFont="1" applyFill="1" applyBorder="1" applyAlignment="1" applyProtection="1">
      <alignment horizontal="center" vertical="center" wrapText="1"/>
      <protection hidden="1"/>
    </xf>
    <xf numFmtId="0" fontId="43" fillId="29" borderId="53" xfId="0" applyFont="1" applyFill="1" applyBorder="1" applyAlignment="1" applyProtection="1">
      <alignment horizontal="center" vertical="center" wrapText="1"/>
      <protection hidden="1"/>
    </xf>
    <xf numFmtId="0" fontId="43" fillId="29" borderId="47" xfId="0" applyFont="1" applyFill="1" applyBorder="1" applyAlignment="1" applyProtection="1">
      <alignment horizontal="center" vertical="center" wrapText="1"/>
      <protection hidden="1"/>
    </xf>
    <xf numFmtId="170" fontId="43" fillId="2" borderId="12" xfId="0" applyNumberFormat="1" applyFont="1" applyFill="1" applyBorder="1" applyAlignment="1" applyProtection="1">
      <alignment horizontal="center" vertical="center" wrapText="1"/>
      <protection hidden="1"/>
    </xf>
    <xf numFmtId="0" fontId="0" fillId="2" borderId="15" xfId="0" applyFill="1" applyBorder="1" applyAlignment="1" applyProtection="1">
      <alignment horizontal="center" vertical="center" wrapText="1"/>
      <protection hidden="1"/>
    </xf>
    <xf numFmtId="0" fontId="0" fillId="2" borderId="55" xfId="0" applyFill="1" applyBorder="1" applyAlignment="1" applyProtection="1">
      <alignment horizontal="center" vertical="center" wrapText="1"/>
      <protection hidden="1"/>
    </xf>
    <xf numFmtId="14" fontId="43" fillId="2" borderId="62" xfId="0" applyNumberFormat="1" applyFont="1" applyFill="1" applyBorder="1" applyAlignment="1" applyProtection="1">
      <alignment horizontal="center" vertical="center" wrapText="1"/>
      <protection hidden="1"/>
    </xf>
    <xf numFmtId="0" fontId="0" fillId="2" borderId="68" xfId="0" applyFill="1" applyBorder="1" applyAlignment="1" applyProtection="1">
      <alignment horizontal="center" vertical="center" wrapText="1"/>
      <protection hidden="1"/>
    </xf>
    <xf numFmtId="0" fontId="0" fillId="2" borderId="83" xfId="0" applyFill="1" applyBorder="1" applyAlignment="1" applyProtection="1">
      <alignment horizontal="center" vertical="center" wrapText="1"/>
      <protection hidden="1"/>
    </xf>
    <xf numFmtId="170" fontId="43" fillId="15" borderId="72" xfId="0" applyNumberFormat="1" applyFont="1" applyFill="1" applyBorder="1" applyAlignment="1" applyProtection="1">
      <alignment horizontal="center" vertical="center" wrapText="1"/>
      <protection hidden="1"/>
    </xf>
    <xf numFmtId="0" fontId="0" fillId="15" borderId="18" xfId="0" applyFill="1" applyBorder="1" applyAlignment="1" applyProtection="1">
      <alignment horizontal="center" vertical="center" wrapText="1"/>
      <protection hidden="1"/>
    </xf>
    <xf numFmtId="0" fontId="74" fillId="29" borderId="4" xfId="0" applyFont="1" applyFill="1" applyBorder="1" applyAlignment="1" applyProtection="1">
      <alignment horizontal="center" vertical="center"/>
      <protection hidden="1"/>
    </xf>
    <xf numFmtId="0" fontId="74" fillId="29" borderId="51" xfId="0" applyFont="1" applyFill="1" applyBorder="1" applyAlignment="1" applyProtection="1">
      <alignment horizontal="center" vertical="center"/>
      <protection hidden="1"/>
    </xf>
    <xf numFmtId="0" fontId="74" fillId="29" borderId="40" xfId="0" applyFont="1" applyFill="1" applyBorder="1" applyAlignment="1" applyProtection="1">
      <alignment horizontal="center" vertical="center"/>
      <protection hidden="1"/>
    </xf>
    <xf numFmtId="3" fontId="43" fillId="15" borderId="12" xfId="0" applyNumberFormat="1" applyFont="1" applyFill="1" applyBorder="1" applyAlignment="1" applyProtection="1">
      <alignment horizontal="center" vertical="center" wrapText="1"/>
      <protection hidden="1"/>
    </xf>
    <xf numFmtId="170" fontId="43" fillId="15" borderId="12" xfId="0" applyNumberFormat="1" applyFont="1" applyFill="1" applyBorder="1" applyAlignment="1" applyProtection="1">
      <alignment horizontal="center" vertical="center" wrapText="1"/>
      <protection hidden="1"/>
    </xf>
    <xf numFmtId="0" fontId="20" fillId="29" borderId="2" xfId="0" applyFont="1" applyFill="1" applyBorder="1" applyAlignment="1" applyProtection="1">
      <alignment horizontal="center" vertical="center" wrapText="1"/>
      <protection hidden="1"/>
    </xf>
    <xf numFmtId="0" fontId="20" fillId="29" borderId="4" xfId="0" applyFont="1" applyFill="1" applyBorder="1" applyAlignment="1" applyProtection="1">
      <alignment horizontal="center" vertical="center" wrapText="1"/>
      <protection hidden="1"/>
    </xf>
    <xf numFmtId="0" fontId="20" fillId="29" borderId="10" xfId="0" applyFont="1" applyFill="1" applyBorder="1" applyAlignment="1" applyProtection="1">
      <alignment horizontal="center" vertical="center" wrapText="1"/>
      <protection hidden="1"/>
    </xf>
    <xf numFmtId="0" fontId="20" fillId="29" borderId="51" xfId="0" applyFont="1" applyFill="1" applyBorder="1" applyAlignment="1" applyProtection="1">
      <alignment horizontal="center" vertical="center" wrapText="1"/>
      <protection hidden="1"/>
    </xf>
    <xf numFmtId="0" fontId="20" fillId="29" borderId="49" xfId="0" applyFont="1" applyFill="1" applyBorder="1" applyAlignment="1" applyProtection="1">
      <alignment horizontal="center" vertical="center" wrapText="1"/>
      <protection hidden="1"/>
    </xf>
    <xf numFmtId="0" fontId="20" fillId="29" borderId="40" xfId="0" applyFont="1" applyFill="1" applyBorder="1" applyAlignment="1" applyProtection="1">
      <alignment horizontal="center" vertical="center" wrapText="1"/>
      <protection hidden="1"/>
    </xf>
    <xf numFmtId="0" fontId="73" fillId="29" borderId="72" xfId="0" applyFont="1" applyFill="1" applyBorder="1" applyAlignment="1" applyProtection="1">
      <alignment horizontal="center" vertical="center" wrapText="1"/>
      <protection hidden="1"/>
    </xf>
    <xf numFmtId="0" fontId="43" fillId="15" borderId="72" xfId="0" applyFont="1" applyFill="1" applyBorder="1" applyAlignment="1" applyProtection="1">
      <alignment horizontal="center" vertical="center" wrapText="1"/>
      <protection hidden="1"/>
    </xf>
    <xf numFmtId="4" fontId="43" fillId="2" borderId="12" xfId="0" applyNumberFormat="1" applyFont="1" applyFill="1" applyBorder="1" applyAlignment="1" applyProtection="1">
      <alignment horizontal="center" vertical="center" wrapText="1"/>
      <protection hidden="1"/>
    </xf>
    <xf numFmtId="3" fontId="43" fillId="2" borderId="12" xfId="0" applyNumberFormat="1" applyFont="1" applyFill="1" applyBorder="1" applyAlignment="1" applyProtection="1">
      <alignment horizontal="center" vertical="center" wrapText="1"/>
      <protection hidden="1"/>
    </xf>
    <xf numFmtId="0" fontId="73" fillId="30" borderId="75" xfId="0" applyFont="1" applyFill="1" applyBorder="1" applyAlignment="1" applyProtection="1">
      <alignment horizontal="center" vertical="center"/>
      <protection hidden="1"/>
    </xf>
    <xf numFmtId="0" fontId="22" fillId="30" borderId="10" xfId="0" applyFont="1" applyFill="1" applyBorder="1" applyAlignment="1" applyProtection="1">
      <alignment horizontal="center" vertical="center" wrapText="1"/>
      <protection hidden="1"/>
    </xf>
    <xf numFmtId="0" fontId="22" fillId="30" borderId="0" xfId="0" applyFont="1" applyFill="1" applyBorder="1" applyAlignment="1" applyProtection="1">
      <alignment horizontal="center" vertical="center" wrapText="1"/>
      <protection hidden="1"/>
    </xf>
    <xf numFmtId="0" fontId="22" fillId="30" borderId="51" xfId="0" applyFont="1" applyFill="1" applyBorder="1" applyAlignment="1" applyProtection="1">
      <alignment horizontal="center" vertical="center" wrapText="1"/>
      <protection hidden="1"/>
    </xf>
    <xf numFmtId="0" fontId="22" fillId="30" borderId="17" xfId="0" applyFont="1" applyFill="1" applyBorder="1" applyAlignment="1" applyProtection="1">
      <alignment horizontal="center" vertical="center" wrapText="1"/>
      <protection hidden="1"/>
    </xf>
    <xf numFmtId="0" fontId="22" fillId="30" borderId="27" xfId="0" applyFont="1" applyFill="1" applyBorder="1" applyAlignment="1" applyProtection="1">
      <alignment horizontal="center" vertical="center" wrapText="1"/>
      <protection hidden="1"/>
    </xf>
    <xf numFmtId="0" fontId="22" fillId="30" borderId="38" xfId="0" applyFont="1" applyFill="1" applyBorder="1" applyAlignment="1" applyProtection="1">
      <alignment horizontal="center" vertical="center" wrapText="1"/>
      <protection hidden="1"/>
    </xf>
    <xf numFmtId="0" fontId="22" fillId="30" borderId="62" xfId="0" applyFont="1" applyFill="1" applyBorder="1" applyAlignment="1" applyProtection="1">
      <alignment horizontal="center" vertical="center" wrapText="1"/>
      <protection hidden="1"/>
    </xf>
    <xf numFmtId="170" fontId="73" fillId="0" borderId="18" xfId="0" applyNumberFormat="1" applyFont="1" applyBorder="1" applyAlignment="1" applyProtection="1">
      <alignment horizontal="center" vertical="center" wrapText="1"/>
      <protection hidden="1"/>
    </xf>
    <xf numFmtId="0" fontId="73" fillId="0" borderId="38" xfId="0" applyFont="1" applyBorder="1" applyAlignment="1" applyProtection="1">
      <alignment horizontal="center" vertical="center" wrapText="1"/>
      <protection hidden="1"/>
    </xf>
    <xf numFmtId="14" fontId="43" fillId="15" borderId="62" xfId="0" applyNumberFormat="1" applyFont="1" applyFill="1" applyBorder="1" applyAlignment="1" applyProtection="1">
      <alignment horizontal="center" vertical="center"/>
      <protection hidden="1"/>
    </xf>
    <xf numFmtId="14" fontId="43" fillId="15" borderId="68" xfId="0" applyNumberFormat="1" applyFont="1" applyFill="1" applyBorder="1" applyAlignment="1" applyProtection="1">
      <alignment horizontal="center" vertical="center"/>
      <protection hidden="1"/>
    </xf>
    <xf numFmtId="14" fontId="43" fillId="15" borderId="38" xfId="0" applyNumberFormat="1" applyFont="1" applyFill="1" applyBorder="1" applyAlignment="1" applyProtection="1">
      <alignment horizontal="center" vertical="center"/>
      <protection hidden="1"/>
    </xf>
    <xf numFmtId="0" fontId="43" fillId="2" borderId="12" xfId="0" applyFont="1" applyFill="1" applyBorder="1" applyAlignment="1" applyProtection="1">
      <alignment horizontal="center" vertical="center"/>
      <protection hidden="1"/>
    </xf>
    <xf numFmtId="0" fontId="43" fillId="2" borderId="15" xfId="0" applyFont="1" applyFill="1" applyBorder="1" applyAlignment="1" applyProtection="1">
      <alignment horizontal="center" vertical="center"/>
      <protection hidden="1"/>
    </xf>
    <xf numFmtId="170" fontId="43" fillId="2" borderId="12" xfId="0" applyNumberFormat="1" applyFont="1" applyFill="1" applyBorder="1" applyAlignment="1" applyProtection="1">
      <alignment horizontal="center" vertical="center"/>
      <protection hidden="1"/>
    </xf>
    <xf numFmtId="170" fontId="43" fillId="2" borderId="15" xfId="0" applyNumberFormat="1" applyFont="1" applyFill="1" applyBorder="1" applyAlignment="1" applyProtection="1">
      <alignment horizontal="center" vertical="center"/>
      <protection hidden="1"/>
    </xf>
    <xf numFmtId="0" fontId="43" fillId="2" borderId="62" xfId="0" applyFont="1" applyFill="1" applyBorder="1" applyAlignment="1" applyProtection="1">
      <alignment horizontal="center" vertical="center"/>
      <protection hidden="1"/>
    </xf>
    <xf numFmtId="0" fontId="43" fillId="2" borderId="68" xfId="0" applyFont="1" applyFill="1" applyBorder="1" applyAlignment="1" applyProtection="1">
      <alignment horizontal="center" vertical="center"/>
      <protection hidden="1"/>
    </xf>
    <xf numFmtId="0" fontId="43" fillId="15" borderId="12" xfId="0" applyFont="1" applyFill="1" applyBorder="1" applyAlignment="1" applyProtection="1">
      <alignment horizontal="center" vertical="center"/>
      <protection hidden="1"/>
    </xf>
    <xf numFmtId="0" fontId="43" fillId="15" borderId="15" xfId="0" applyFont="1" applyFill="1" applyBorder="1" applyAlignment="1" applyProtection="1">
      <alignment horizontal="center" vertical="center"/>
      <protection hidden="1"/>
    </xf>
    <xf numFmtId="0" fontId="43" fillId="15" borderId="18" xfId="0" applyFont="1" applyFill="1" applyBorder="1" applyAlignment="1" applyProtection="1">
      <alignment horizontal="center" vertical="center"/>
      <protection hidden="1"/>
    </xf>
    <xf numFmtId="170" fontId="43" fillId="15" borderId="12" xfId="0" applyNumberFormat="1" applyFont="1" applyFill="1" applyBorder="1" applyAlignment="1" applyProtection="1">
      <alignment horizontal="center" vertical="center"/>
      <protection hidden="1"/>
    </xf>
    <xf numFmtId="170" fontId="43" fillId="15" borderId="15" xfId="0" applyNumberFormat="1" applyFont="1" applyFill="1" applyBorder="1" applyAlignment="1" applyProtection="1">
      <alignment horizontal="center" vertical="center"/>
      <protection hidden="1"/>
    </xf>
    <xf numFmtId="170" fontId="43" fillId="15" borderId="18" xfId="0" applyNumberFormat="1" applyFont="1" applyFill="1" applyBorder="1" applyAlignment="1" applyProtection="1">
      <alignment horizontal="center" vertical="center"/>
      <protection hidden="1"/>
    </xf>
    <xf numFmtId="0" fontId="73" fillId="29" borderId="51" xfId="0" applyFont="1" applyFill="1" applyBorder="1" applyAlignment="1" applyProtection="1">
      <alignment horizontal="center" vertical="center"/>
      <protection hidden="1"/>
    </xf>
    <xf numFmtId="0" fontId="73" fillId="29" borderId="10" xfId="0" applyFont="1" applyFill="1" applyBorder="1" applyAlignment="1" applyProtection="1">
      <alignment horizontal="center" vertical="center"/>
      <protection hidden="1"/>
    </xf>
    <xf numFmtId="0" fontId="73" fillId="29" borderId="49" xfId="0" applyFont="1" applyFill="1" applyBorder="1" applyAlignment="1" applyProtection="1">
      <alignment horizontal="center" vertical="center"/>
      <protection hidden="1"/>
    </xf>
    <xf numFmtId="0" fontId="73" fillId="29" borderId="40" xfId="0" applyFont="1" applyFill="1" applyBorder="1" applyAlignment="1" applyProtection="1">
      <alignment horizontal="center" vertical="center"/>
      <protection hidden="1"/>
    </xf>
    <xf numFmtId="0" fontId="73" fillId="29" borderId="15" xfId="0" applyFont="1" applyFill="1" applyBorder="1" applyAlignment="1" applyProtection="1">
      <alignment horizontal="center" vertical="center"/>
      <protection hidden="1"/>
    </xf>
    <xf numFmtId="3" fontId="43" fillId="15" borderId="15" xfId="0" applyNumberFormat="1" applyFont="1" applyFill="1" applyBorder="1" applyAlignment="1" applyProtection="1">
      <alignment horizontal="center" vertical="center" wrapText="1"/>
      <protection hidden="1"/>
    </xf>
    <xf numFmtId="0" fontId="74" fillId="18" borderId="2" xfId="0" applyFont="1" applyFill="1" applyBorder="1" applyAlignment="1" applyProtection="1">
      <alignment horizontal="center" vertical="center"/>
      <protection hidden="1"/>
    </xf>
    <xf numFmtId="0" fontId="74" fillId="18" borderId="3" xfId="0" applyFont="1" applyFill="1" applyBorder="1" applyAlignment="1" applyProtection="1">
      <alignment horizontal="center" vertical="center"/>
      <protection hidden="1"/>
    </xf>
    <xf numFmtId="0" fontId="74" fillId="18" borderId="4" xfId="0" applyFont="1" applyFill="1" applyBorder="1" applyAlignment="1" applyProtection="1">
      <alignment horizontal="center" vertical="center"/>
      <protection hidden="1"/>
    </xf>
    <xf numFmtId="0" fontId="74" fillId="18" borderId="49" xfId="0" applyFont="1" applyFill="1" applyBorder="1" applyAlignment="1" applyProtection="1">
      <alignment horizontal="center" vertical="center"/>
      <protection hidden="1"/>
    </xf>
    <xf numFmtId="0" fontId="74" fillId="18" borderId="5" xfId="0" applyFont="1" applyFill="1" applyBorder="1" applyAlignment="1" applyProtection="1">
      <alignment horizontal="center" vertical="center"/>
      <protection hidden="1"/>
    </xf>
    <xf numFmtId="0" fontId="74" fillId="18" borderId="40" xfId="0" applyFont="1" applyFill="1" applyBorder="1" applyAlignment="1" applyProtection="1">
      <alignment horizontal="center" vertical="center"/>
      <protection hidden="1"/>
    </xf>
    <xf numFmtId="0" fontId="50" fillId="5" borderId="41" xfId="0" applyFont="1" applyFill="1" applyBorder="1" applyAlignment="1" applyProtection="1">
      <alignment horizontal="center" vertical="center" wrapText="1"/>
      <protection hidden="1"/>
    </xf>
    <xf numFmtId="0" fontId="50" fillId="5" borderId="43" xfId="0" applyFont="1" applyFill="1" applyBorder="1" applyAlignment="1" applyProtection="1">
      <alignment horizontal="center" vertical="center" wrapText="1"/>
      <protection hidden="1"/>
    </xf>
    <xf numFmtId="0" fontId="49" fillId="4" borderId="6" xfId="0" applyFont="1" applyFill="1" applyBorder="1" applyAlignment="1" applyProtection="1">
      <alignment horizontal="center" vertical="center" wrapText="1"/>
      <protection hidden="1"/>
    </xf>
    <xf numFmtId="0" fontId="49" fillId="4" borderId="7" xfId="0" applyFont="1" applyFill="1" applyBorder="1" applyAlignment="1" applyProtection="1">
      <alignment horizontal="center" vertical="center" wrapText="1"/>
      <protection hidden="1"/>
    </xf>
    <xf numFmtId="0" fontId="49" fillId="4" borderId="8" xfId="0" applyFont="1" applyFill="1" applyBorder="1" applyAlignment="1" applyProtection="1">
      <alignment horizontal="center" vertical="center" wrapText="1"/>
      <protection hidden="1"/>
    </xf>
    <xf numFmtId="0" fontId="1" fillId="2" borderId="37" xfId="0" applyFont="1" applyFill="1" applyBorder="1" applyAlignment="1" applyProtection="1">
      <alignment horizontal="center" vertical="center" wrapText="1"/>
      <protection hidden="1"/>
    </xf>
    <xf numFmtId="0" fontId="1" fillId="2" borderId="23" xfId="0" applyFont="1" applyFill="1" applyBorder="1" applyAlignment="1" applyProtection="1">
      <alignment horizontal="center" vertical="center" wrapText="1"/>
      <protection hidden="1"/>
    </xf>
    <xf numFmtId="0" fontId="7" fillId="5" borderId="34"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3" fillId="5" borderId="37" xfId="0" applyFont="1" applyFill="1" applyBorder="1" applyAlignment="1" applyProtection="1">
      <alignment horizontal="left" vertical="center" wrapText="1"/>
      <protection hidden="1"/>
    </xf>
    <xf numFmtId="0" fontId="3" fillId="5" borderId="23" xfId="0" applyFont="1" applyFill="1" applyBorder="1" applyAlignment="1" applyProtection="1">
      <alignment horizontal="left" vertical="center" wrapText="1"/>
      <protection hidden="1"/>
    </xf>
    <xf numFmtId="0" fontId="39" fillId="2" borderId="37" xfId="0" applyFont="1" applyFill="1" applyBorder="1" applyAlignment="1" applyProtection="1">
      <alignment horizontal="left" vertical="center" wrapText="1"/>
      <protection hidden="1"/>
    </xf>
    <xf numFmtId="0" fontId="39" fillId="2" borderId="23" xfId="0" applyFont="1" applyFill="1" applyBorder="1" applyAlignment="1" applyProtection="1">
      <alignment horizontal="left" vertical="center" wrapText="1"/>
      <protection hidden="1"/>
    </xf>
    <xf numFmtId="0" fontId="1" fillId="5" borderId="54" xfId="0" applyFont="1" applyFill="1" applyBorder="1" applyAlignment="1" applyProtection="1">
      <alignment horizontal="center" vertical="center" wrapText="1"/>
      <protection hidden="1"/>
    </xf>
    <xf numFmtId="0" fontId="1" fillId="5" borderId="17" xfId="0" applyFont="1" applyFill="1" applyBorder="1" applyAlignment="1" applyProtection="1">
      <alignment horizontal="center" vertical="center" wrapText="1"/>
      <protection hidden="1"/>
    </xf>
    <xf numFmtId="0" fontId="34" fillId="5" borderId="37" xfId="0" applyFont="1" applyFill="1" applyBorder="1" applyAlignment="1" applyProtection="1">
      <alignment vertical="center" wrapText="1"/>
      <protection hidden="1"/>
    </xf>
    <xf numFmtId="0" fontId="34" fillId="5" borderId="14" xfId="0" applyFont="1" applyFill="1" applyBorder="1" applyAlignment="1" applyProtection="1">
      <alignment vertical="center" wrapText="1"/>
      <protection hidden="1"/>
    </xf>
    <xf numFmtId="0" fontId="34" fillId="5" borderId="37" xfId="0" applyFont="1" applyFill="1" applyBorder="1" applyAlignment="1" applyProtection="1">
      <alignment horizontal="left" vertical="center" wrapText="1"/>
      <protection hidden="1"/>
    </xf>
    <xf numFmtId="0" fontId="34" fillId="5" borderId="14" xfId="0" applyFont="1" applyFill="1" applyBorder="1" applyAlignment="1" applyProtection="1">
      <alignment horizontal="left" vertical="center" wrapText="1"/>
      <protection hidden="1"/>
    </xf>
    <xf numFmtId="0" fontId="34" fillId="5" borderId="37" xfId="0" applyFont="1" applyFill="1" applyBorder="1" applyAlignment="1" applyProtection="1">
      <alignment horizontal="center" vertical="top" wrapText="1"/>
      <protection hidden="1"/>
    </xf>
    <xf numFmtId="0" fontId="34" fillId="5" borderId="14" xfId="0" applyFont="1" applyFill="1" applyBorder="1" applyAlignment="1" applyProtection="1">
      <alignment horizontal="center" vertical="top" wrapText="1"/>
      <protection hidden="1"/>
    </xf>
    <xf numFmtId="0" fontId="41" fillId="2" borderId="11" xfId="0" applyFont="1" applyFill="1" applyBorder="1" applyAlignment="1" applyProtection="1">
      <alignment horizontal="center" vertical="center" wrapText="1"/>
      <protection hidden="1"/>
    </xf>
    <xf numFmtId="0" fontId="41" fillId="2" borderId="23" xfId="0" applyFont="1" applyFill="1" applyBorder="1" applyAlignment="1" applyProtection="1">
      <alignment horizontal="center" vertical="center" wrapText="1"/>
      <protection hidden="1"/>
    </xf>
    <xf numFmtId="0" fontId="41" fillId="2" borderId="35" xfId="0" applyFont="1" applyFill="1" applyBorder="1" applyAlignment="1" applyProtection="1">
      <alignment horizontal="center" vertical="center" wrapText="1"/>
      <protection hidden="1"/>
    </xf>
    <xf numFmtId="0" fontId="7" fillId="2" borderId="58" xfId="0" applyFont="1" applyFill="1" applyBorder="1" applyAlignment="1" applyProtection="1">
      <alignment horizontal="center" vertical="center" wrapText="1"/>
      <protection hidden="1"/>
    </xf>
    <xf numFmtId="0" fontId="7" fillId="2" borderId="64" xfId="0" applyFont="1" applyFill="1" applyBorder="1" applyAlignment="1" applyProtection="1">
      <alignment horizontal="center" vertical="center" wrapText="1"/>
      <protection hidden="1"/>
    </xf>
    <xf numFmtId="0" fontId="34" fillId="5" borderId="37" xfId="0" applyFont="1" applyFill="1" applyBorder="1" applyAlignment="1" applyProtection="1">
      <alignment horizontal="left" vertical="top" wrapText="1"/>
      <protection hidden="1"/>
    </xf>
    <xf numFmtId="0" fontId="34" fillId="5" borderId="14" xfId="0" applyFont="1" applyFill="1" applyBorder="1" applyAlignment="1" applyProtection="1">
      <alignment horizontal="left" vertical="top" wrapText="1"/>
      <protection hidden="1"/>
    </xf>
    <xf numFmtId="0" fontId="34" fillId="5" borderId="37" xfId="0" applyFont="1" applyFill="1" applyBorder="1" applyAlignment="1" applyProtection="1">
      <alignment vertical="top" wrapText="1"/>
      <protection hidden="1"/>
    </xf>
    <xf numFmtId="0" fontId="34" fillId="5" borderId="14" xfId="0" applyFont="1" applyFill="1" applyBorder="1" applyAlignment="1" applyProtection="1">
      <alignment vertical="top" wrapText="1"/>
      <protection hidden="1"/>
    </xf>
    <xf numFmtId="0" fontId="49" fillId="4" borderId="2" xfId="0" applyFont="1" applyFill="1" applyBorder="1" applyAlignment="1" applyProtection="1">
      <alignment horizontal="center" vertical="center" wrapText="1"/>
      <protection hidden="1"/>
    </xf>
    <xf numFmtId="0" fontId="49" fillId="4" borderId="3" xfId="0" applyFont="1" applyFill="1" applyBorder="1" applyAlignment="1" applyProtection="1">
      <alignment horizontal="center" vertical="center" wrapText="1"/>
      <protection hidden="1"/>
    </xf>
    <xf numFmtId="0" fontId="49" fillId="4" borderId="4"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left" vertical="center" wrapText="1"/>
      <protection hidden="1"/>
    </xf>
    <xf numFmtId="0" fontId="7" fillId="5" borderId="42" xfId="0" applyFont="1" applyFill="1" applyBorder="1" applyAlignment="1" applyProtection="1">
      <alignment horizontal="left" vertical="center" wrapText="1"/>
      <protection hidden="1"/>
    </xf>
    <xf numFmtId="0" fontId="7" fillId="5" borderId="34"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left" vertical="center" wrapText="1"/>
      <protection hidden="1"/>
    </xf>
    <xf numFmtId="0" fontId="7" fillId="5" borderId="45" xfId="0" applyFont="1" applyFill="1" applyBorder="1" applyAlignment="1" applyProtection="1">
      <alignment horizontal="left" vertical="center" wrapText="1"/>
      <protection hidden="1"/>
    </xf>
    <xf numFmtId="0" fontId="7" fillId="5" borderId="46" xfId="0" applyFont="1" applyFill="1" applyBorder="1" applyAlignment="1" applyProtection="1">
      <alignment horizontal="left" vertical="center" wrapText="1"/>
      <protection hidden="1"/>
    </xf>
    <xf numFmtId="0" fontId="7" fillId="2" borderId="0" xfId="0" applyFont="1" applyFill="1" applyBorder="1" applyAlignment="1" applyProtection="1">
      <alignment horizontal="left" vertical="center" wrapText="1"/>
      <protection hidden="1"/>
    </xf>
    <xf numFmtId="0" fontId="84" fillId="0" borderId="29" xfId="0" applyFont="1" applyFill="1" applyBorder="1" applyAlignment="1" applyProtection="1">
      <alignment horizontal="center" vertical="center" wrapText="1"/>
      <protection hidden="1"/>
    </xf>
    <xf numFmtId="0" fontId="84" fillId="0" borderId="7" xfId="0" applyFont="1" applyFill="1" applyBorder="1" applyAlignment="1" applyProtection="1">
      <alignment horizontal="center" vertical="center" wrapText="1"/>
      <protection hidden="1"/>
    </xf>
    <xf numFmtId="0" fontId="84" fillId="0" borderId="21" xfId="0" applyFont="1" applyFill="1" applyBorder="1" applyAlignment="1" applyProtection="1">
      <alignment horizontal="center" vertical="center" wrapText="1"/>
      <protection hidden="1"/>
    </xf>
    <xf numFmtId="0" fontId="43" fillId="2" borderId="10" xfId="0" applyFont="1" applyFill="1" applyBorder="1" applyAlignment="1" applyProtection="1">
      <alignment horizontal="center" vertical="center" wrapText="1"/>
      <protection hidden="1"/>
    </xf>
    <xf numFmtId="0" fontId="27" fillId="4" borderId="6" xfId="0" applyFont="1" applyFill="1" applyBorder="1" applyAlignment="1" applyProtection="1">
      <alignment horizontal="center" vertical="center" wrapText="1"/>
      <protection hidden="1"/>
    </xf>
    <xf numFmtId="0" fontId="27" fillId="4" borderId="7" xfId="0" applyFont="1" applyFill="1" applyBorder="1" applyAlignment="1" applyProtection="1">
      <alignment horizontal="center" vertical="center" wrapText="1"/>
      <protection hidden="1"/>
    </xf>
    <xf numFmtId="0" fontId="27" fillId="4" borderId="8" xfId="0" applyFont="1" applyFill="1" applyBorder="1" applyAlignment="1" applyProtection="1">
      <alignment horizontal="center" vertical="center" wrapText="1"/>
      <protection hidden="1"/>
    </xf>
    <xf numFmtId="0" fontId="3" fillId="5" borderId="58" xfId="0" applyFont="1" applyFill="1" applyBorder="1" applyAlignment="1" applyProtection="1">
      <alignment horizontal="left" vertical="center" wrapText="1"/>
      <protection hidden="1"/>
    </xf>
    <xf numFmtId="0" fontId="3" fillId="5" borderId="64" xfId="0" applyFont="1" applyFill="1" applyBorder="1" applyAlignment="1" applyProtection="1">
      <alignment horizontal="left" vertical="center" wrapText="1"/>
      <protection hidden="1"/>
    </xf>
    <xf numFmtId="0" fontId="1" fillId="5" borderId="18" xfId="0" applyFont="1" applyFill="1" applyBorder="1" applyAlignment="1" applyProtection="1">
      <alignment horizontal="center" vertical="center" wrapText="1"/>
      <protection hidden="1"/>
    </xf>
    <xf numFmtId="0" fontId="39" fillId="4" borderId="37" xfId="0" applyFont="1" applyFill="1" applyBorder="1" applyAlignment="1" applyProtection="1">
      <alignment horizontal="center" vertical="center" wrapText="1"/>
      <protection hidden="1"/>
    </xf>
    <xf numFmtId="0" fontId="39" fillId="4" borderId="23" xfId="0" applyFont="1" applyFill="1" applyBorder="1" applyAlignment="1" applyProtection="1">
      <alignment horizontal="center" vertical="center" wrapText="1"/>
      <protection hidden="1"/>
    </xf>
    <xf numFmtId="0" fontId="39" fillId="4" borderId="14" xfId="0" applyFont="1" applyFill="1" applyBorder="1" applyAlignment="1" applyProtection="1">
      <alignment horizontal="center" vertical="center" wrapText="1"/>
      <protection hidden="1"/>
    </xf>
    <xf numFmtId="0" fontId="5" fillId="5" borderId="51" xfId="0" applyFont="1" applyFill="1" applyBorder="1" applyAlignment="1" applyProtection="1">
      <alignment horizontal="center" vertical="center" wrapText="1"/>
      <protection hidden="1"/>
    </xf>
    <xf numFmtId="0" fontId="5" fillId="5" borderId="40" xfId="0" applyFont="1" applyFill="1" applyBorder="1" applyAlignment="1" applyProtection="1">
      <alignment horizontal="center" vertical="center" wrapText="1"/>
      <protection hidden="1"/>
    </xf>
    <xf numFmtId="0" fontId="23" fillId="4" borderId="58" xfId="0" applyFont="1" applyFill="1" applyBorder="1" applyAlignment="1" applyProtection="1">
      <alignment horizontal="center" vertical="center" wrapText="1"/>
      <protection hidden="1"/>
    </xf>
    <xf numFmtId="0" fontId="23" fillId="4" borderId="64" xfId="0" applyFont="1" applyFill="1" applyBorder="1" applyAlignment="1" applyProtection="1">
      <alignment horizontal="center" vertical="center" wrapText="1"/>
      <protection hidden="1"/>
    </xf>
    <xf numFmtId="0" fontId="23" fillId="4" borderId="59" xfId="0" applyFont="1" applyFill="1" applyBorder="1" applyAlignment="1" applyProtection="1">
      <alignment horizontal="center" vertical="center" wrapText="1"/>
      <protection hidden="1"/>
    </xf>
    <xf numFmtId="175" fontId="2" fillId="6" borderId="22" xfId="0" applyNumberFormat="1" applyFont="1" applyFill="1" applyBorder="1" applyAlignment="1" applyProtection="1">
      <alignment horizontal="center" vertical="center" wrapText="1"/>
      <protection locked="0" hidden="1"/>
    </xf>
    <xf numFmtId="175" fontId="2" fillId="6" borderId="20" xfId="0" applyNumberFormat="1" applyFont="1" applyFill="1" applyBorder="1" applyAlignment="1" applyProtection="1">
      <alignment horizontal="center" vertical="center" wrapText="1"/>
      <protection locked="0" hidden="1"/>
    </xf>
    <xf numFmtId="0" fontId="1" fillId="17" borderId="19" xfId="0" applyFont="1" applyFill="1" applyBorder="1" applyAlignment="1" applyProtection="1">
      <alignment horizontal="center" vertical="center" wrapText="1"/>
      <protection hidden="1"/>
    </xf>
    <xf numFmtId="0" fontId="1" fillId="17" borderId="22"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3" fillId="17" borderId="34" xfId="0" applyFont="1" applyFill="1" applyBorder="1" applyAlignment="1" applyProtection="1">
      <alignment horizontal="center" vertical="center" wrapText="1"/>
      <protection hidden="1"/>
    </xf>
    <xf numFmtId="0" fontId="3" fillId="17" borderId="9" xfId="0" applyFont="1" applyFill="1" applyBorder="1" applyAlignment="1" applyProtection="1">
      <alignment horizontal="center" vertical="center" wrapText="1"/>
      <protection hidden="1"/>
    </xf>
    <xf numFmtId="0" fontId="4" fillId="17" borderId="41" xfId="0" applyFont="1" applyFill="1" applyBorder="1" applyAlignment="1" applyProtection="1">
      <alignment horizontal="center" vertical="center" wrapText="1"/>
      <protection hidden="1"/>
    </xf>
    <xf numFmtId="0" fontId="4" fillId="17" borderId="42" xfId="0" applyFont="1" applyFill="1" applyBorder="1" applyAlignment="1" applyProtection="1">
      <alignment horizontal="center" vertical="center" wrapText="1"/>
      <protection hidden="1"/>
    </xf>
    <xf numFmtId="0" fontId="4" fillId="17" borderId="43" xfId="0" applyFont="1" applyFill="1" applyBorder="1" applyAlignment="1" applyProtection="1">
      <alignment horizontal="center" vertical="center" wrapText="1"/>
      <protection hidden="1"/>
    </xf>
    <xf numFmtId="0" fontId="3" fillId="17" borderId="45"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27" fillId="26" borderId="6" xfId="0" applyFont="1" applyFill="1" applyBorder="1" applyAlignment="1" applyProtection="1">
      <alignment horizontal="center" vertical="center" wrapText="1"/>
      <protection hidden="1"/>
    </xf>
    <xf numFmtId="0" fontId="27" fillId="26" borderId="7" xfId="0" applyFont="1" applyFill="1" applyBorder="1" applyAlignment="1" applyProtection="1">
      <alignment horizontal="center" vertical="center" wrapText="1"/>
      <protection hidden="1"/>
    </xf>
    <xf numFmtId="0" fontId="27" fillId="26" borderId="8" xfId="0" applyFont="1" applyFill="1" applyBorder="1" applyAlignment="1" applyProtection="1">
      <alignment horizontal="center" vertical="center" wrapText="1"/>
      <protection hidden="1"/>
    </xf>
    <xf numFmtId="0" fontId="4" fillId="5" borderId="41"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43" xfId="0" applyFont="1" applyFill="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hidden="1"/>
    </xf>
    <xf numFmtId="0" fontId="62" fillId="26" borderId="6" xfId="0" applyFont="1" applyFill="1" applyBorder="1" applyAlignment="1" applyProtection="1">
      <alignment horizontal="center" vertical="center" wrapText="1"/>
      <protection hidden="1"/>
    </xf>
    <xf numFmtId="0" fontId="62" fillId="26" borderId="7" xfId="0" applyFont="1" applyFill="1" applyBorder="1" applyAlignment="1" applyProtection="1">
      <alignment horizontal="center" vertical="center" wrapText="1"/>
      <protection hidden="1"/>
    </xf>
    <xf numFmtId="0" fontId="62" fillId="26" borderId="8" xfId="0" applyFont="1" applyFill="1" applyBorder="1" applyAlignment="1" applyProtection="1">
      <alignment horizontal="center" vertical="center" wrapText="1"/>
      <protection hidden="1"/>
    </xf>
    <xf numFmtId="0" fontId="7" fillId="17" borderId="41" xfId="0" applyFont="1" applyFill="1" applyBorder="1" applyAlignment="1" applyProtection="1">
      <alignment horizontal="center" vertical="center" wrapText="1"/>
      <protection hidden="1"/>
    </xf>
    <xf numFmtId="0" fontId="7" fillId="17" borderId="42" xfId="0" applyFont="1" applyFill="1" applyBorder="1" applyAlignment="1" applyProtection="1">
      <alignment horizontal="center" vertical="center" wrapText="1"/>
      <protection hidden="1"/>
    </xf>
    <xf numFmtId="0" fontId="84" fillId="0" borderId="48" xfId="0" applyFont="1" applyFill="1" applyBorder="1" applyAlignment="1" applyProtection="1">
      <alignment horizontal="center" vertical="center" wrapText="1"/>
      <protection hidden="1"/>
    </xf>
    <xf numFmtId="0" fontId="84" fillId="0" borderId="5" xfId="0" applyFont="1" applyFill="1" applyBorder="1" applyAlignment="1" applyProtection="1">
      <alignment horizontal="center" vertical="center" wrapText="1"/>
      <protection hidden="1"/>
    </xf>
    <xf numFmtId="0" fontId="84" fillId="0" borderId="67" xfId="0" applyFont="1" applyFill="1" applyBorder="1" applyAlignment="1" applyProtection="1">
      <alignment horizontal="center" vertical="center" wrapText="1"/>
      <protection hidden="1"/>
    </xf>
    <xf numFmtId="0" fontId="7" fillId="17" borderId="44" xfId="0" applyFont="1" applyFill="1" applyBorder="1" applyAlignment="1" applyProtection="1">
      <alignment horizontal="left" vertical="center" wrapText="1"/>
      <protection hidden="1"/>
    </xf>
    <xf numFmtId="0" fontId="7" fillId="17" borderId="32" xfId="0" applyFont="1" applyFill="1" applyBorder="1" applyAlignment="1" applyProtection="1">
      <alignment horizontal="left" vertical="center" wrapText="1"/>
      <protection hidden="1"/>
    </xf>
    <xf numFmtId="2" fontId="24" fillId="16" borderId="12" xfId="0" applyNumberFormat="1" applyFont="1" applyFill="1" applyBorder="1" applyAlignment="1" applyProtection="1">
      <alignment horizontal="center" vertical="center" wrapText="1"/>
      <protection hidden="1"/>
    </xf>
    <xf numFmtId="2" fontId="24" fillId="16" borderId="18" xfId="0" applyNumberFormat="1" applyFont="1" applyFill="1" applyBorder="1" applyAlignment="1" applyProtection="1">
      <alignment horizontal="center" vertical="center" wrapText="1"/>
      <protection hidden="1"/>
    </xf>
    <xf numFmtId="0" fontId="7" fillId="17" borderId="53" xfId="0" applyFont="1" applyFill="1" applyBorder="1" applyAlignment="1" applyProtection="1">
      <alignment horizontal="left" vertical="center" wrapText="1"/>
      <protection hidden="1"/>
    </xf>
    <xf numFmtId="0" fontId="24" fillId="2" borderId="6" xfId="0" applyFont="1" applyFill="1" applyBorder="1" applyAlignment="1" applyProtection="1">
      <alignment horizontal="center" vertical="center" wrapText="1"/>
      <protection hidden="1"/>
    </xf>
    <xf numFmtId="0" fontId="24" fillId="2" borderId="7" xfId="0" applyFont="1" applyFill="1" applyBorder="1" applyAlignment="1" applyProtection="1">
      <alignment horizontal="center" vertical="center" wrapText="1"/>
      <protection hidden="1"/>
    </xf>
    <xf numFmtId="0" fontId="18" fillId="2" borderId="6" xfId="0" applyFont="1" applyFill="1" applyBorder="1" applyAlignment="1" applyProtection="1">
      <alignment horizontal="center" vertical="center" wrapText="1"/>
      <protection hidden="1"/>
    </xf>
    <xf numFmtId="0" fontId="18" fillId="2" borderId="7" xfId="0" applyFont="1" applyFill="1" applyBorder="1" applyAlignment="1" applyProtection="1">
      <alignment horizontal="center" vertical="center" wrapText="1"/>
      <protection hidden="1"/>
    </xf>
    <xf numFmtId="0" fontId="18" fillId="2" borderId="8" xfId="0" applyFont="1" applyFill="1" applyBorder="1" applyAlignment="1" applyProtection="1">
      <alignment horizontal="center" vertical="center" wrapText="1"/>
      <protection hidden="1"/>
    </xf>
    <xf numFmtId="0" fontId="27" fillId="4" borderId="2" xfId="0" applyFont="1" applyFill="1" applyBorder="1" applyAlignment="1" applyProtection="1">
      <alignment horizontal="center" vertical="center" wrapText="1"/>
      <protection hidden="1"/>
    </xf>
    <xf numFmtId="0" fontId="27" fillId="4" borderId="3" xfId="0" applyFont="1" applyFill="1" applyBorder="1" applyAlignment="1" applyProtection="1">
      <alignment horizontal="center" vertical="center" wrapText="1"/>
      <protection hidden="1"/>
    </xf>
    <xf numFmtId="0" fontId="27" fillId="4" borderId="4" xfId="0" applyFont="1" applyFill="1" applyBorder="1" applyAlignment="1" applyProtection="1">
      <alignment horizontal="center" vertical="center" wrapText="1"/>
      <protection hidden="1"/>
    </xf>
    <xf numFmtId="0" fontId="7" fillId="17" borderId="48" xfId="0" applyFont="1" applyFill="1" applyBorder="1" applyAlignment="1" applyProtection="1">
      <alignment horizontal="center" vertical="center" wrapText="1"/>
      <protection hidden="1"/>
    </xf>
    <xf numFmtId="0" fontId="7" fillId="17" borderId="40" xfId="0" applyFont="1" applyFill="1" applyBorder="1" applyAlignment="1" applyProtection="1">
      <alignment horizontal="center" vertical="center" wrapText="1"/>
      <protection hidden="1"/>
    </xf>
    <xf numFmtId="0" fontId="7" fillId="17" borderId="54" xfId="0" applyFont="1" applyFill="1" applyBorder="1" applyAlignment="1" applyProtection="1">
      <alignment horizontal="left" vertical="center" wrapText="1"/>
      <protection hidden="1"/>
    </xf>
    <xf numFmtId="167" fontId="24" fillId="16" borderId="12" xfId="0" applyNumberFormat="1" applyFont="1" applyFill="1" applyBorder="1" applyAlignment="1" applyProtection="1">
      <alignment horizontal="center" vertical="center" wrapText="1"/>
      <protection hidden="1"/>
    </xf>
    <xf numFmtId="167" fontId="24" fillId="16" borderId="18" xfId="0" applyNumberFormat="1" applyFont="1" applyFill="1" applyBorder="1" applyAlignment="1" applyProtection="1">
      <alignment horizontal="center" vertical="center" wrapText="1"/>
      <protection hidden="1"/>
    </xf>
    <xf numFmtId="1" fontId="24" fillId="13" borderId="9" xfId="0" applyNumberFormat="1" applyFont="1" applyFill="1" applyBorder="1" applyAlignment="1" applyProtection="1">
      <alignment horizontal="center" vertical="center" wrapText="1"/>
      <protection hidden="1"/>
    </xf>
    <xf numFmtId="164" fontId="24" fillId="13" borderId="9" xfId="0" applyNumberFormat="1" applyFont="1" applyFill="1" applyBorder="1" applyAlignment="1" applyProtection="1">
      <alignment horizontal="center" vertical="center" wrapText="1"/>
      <protection hidden="1"/>
    </xf>
    <xf numFmtId="1" fontId="24" fillId="16" borderId="12" xfId="0" applyNumberFormat="1" applyFont="1" applyFill="1" applyBorder="1" applyAlignment="1" applyProtection="1">
      <alignment horizontal="center" vertical="center" wrapText="1"/>
      <protection hidden="1"/>
    </xf>
    <xf numFmtId="1" fontId="24" fillId="16" borderId="18" xfId="0" applyNumberFormat="1" applyFont="1" applyFill="1" applyBorder="1" applyAlignment="1" applyProtection="1">
      <alignment horizontal="center" vertical="center" wrapText="1"/>
      <protection hidden="1"/>
    </xf>
    <xf numFmtId="170" fontId="24" fillId="6" borderId="11" xfId="0" applyNumberFormat="1" applyFont="1" applyFill="1" applyBorder="1" applyAlignment="1" applyProtection="1">
      <alignment horizontal="center" vertical="center" wrapText="1"/>
      <protection hidden="1"/>
    </xf>
    <xf numFmtId="170" fontId="24" fillId="6" borderId="14" xfId="0" applyNumberFormat="1" applyFont="1" applyFill="1" applyBorder="1" applyAlignment="1" applyProtection="1">
      <alignment horizontal="center" vertical="center" wrapText="1"/>
      <protection hidden="1"/>
    </xf>
    <xf numFmtId="170" fontId="24" fillId="16" borderId="12" xfId="0" applyNumberFormat="1" applyFont="1" applyFill="1" applyBorder="1" applyAlignment="1" applyProtection="1">
      <alignment horizontal="center" vertical="center" wrapText="1"/>
      <protection hidden="1"/>
    </xf>
    <xf numFmtId="170" fontId="24" fillId="16" borderId="18" xfId="0" applyNumberFormat="1" applyFont="1" applyFill="1" applyBorder="1" applyAlignment="1" applyProtection="1">
      <alignment horizontal="center" vertical="center" wrapText="1"/>
      <protection hidden="1"/>
    </xf>
    <xf numFmtId="14" fontId="24" fillId="5" borderId="11" xfId="0" applyNumberFormat="1" applyFont="1" applyFill="1" applyBorder="1" applyAlignment="1" applyProtection="1">
      <alignment horizontal="center" vertical="center" wrapText="1"/>
      <protection hidden="1"/>
    </xf>
    <xf numFmtId="14" fontId="24" fillId="5" borderId="14" xfId="0" applyNumberFormat="1" applyFont="1" applyFill="1" applyBorder="1" applyAlignment="1" applyProtection="1">
      <alignment horizontal="center" vertical="center" wrapText="1"/>
      <protection hidden="1"/>
    </xf>
    <xf numFmtId="14" fontId="24" fillId="13" borderId="9" xfId="0" applyNumberFormat="1" applyFont="1" applyFill="1" applyBorder="1" applyAlignment="1" applyProtection="1">
      <alignment horizontal="center" vertical="center" wrapText="1"/>
      <protection hidden="1"/>
    </xf>
    <xf numFmtId="0" fontId="9" fillId="25" borderId="76" xfId="6" applyBorder="1" applyAlignment="1" applyProtection="1">
      <alignment horizontal="center" vertical="center"/>
      <protection locked="0" hidden="1"/>
    </xf>
    <xf numFmtId="0" fontId="9" fillId="25" borderId="52" xfId="6" applyBorder="1" applyAlignment="1" applyProtection="1">
      <alignment horizontal="center" vertical="center"/>
      <protection locked="0" hidden="1"/>
    </xf>
    <xf numFmtId="0" fontId="7" fillId="17" borderId="37" xfId="0" applyFont="1" applyFill="1" applyBorder="1" applyAlignment="1" applyProtection="1">
      <alignment horizontal="center" vertical="center" wrapText="1"/>
      <protection hidden="1"/>
    </xf>
    <xf numFmtId="0" fontId="7" fillId="17" borderId="14" xfId="0" applyFont="1" applyFill="1" applyBorder="1" applyAlignment="1" applyProtection="1">
      <alignment horizontal="center" vertical="center" wrapText="1"/>
      <protection hidden="1"/>
    </xf>
    <xf numFmtId="0" fontId="7" fillId="17" borderId="58" xfId="0" applyFont="1" applyFill="1" applyBorder="1" applyAlignment="1" applyProtection="1">
      <alignment horizontal="center" vertical="center" wrapText="1"/>
      <protection hidden="1"/>
    </xf>
    <xf numFmtId="0" fontId="7" fillId="17" borderId="59" xfId="0" applyFont="1" applyFill="1" applyBorder="1" applyAlignment="1" applyProtection="1">
      <alignment horizontal="center" vertical="center" wrapText="1"/>
      <protection hidden="1"/>
    </xf>
    <xf numFmtId="0" fontId="77" fillId="17" borderId="37" xfId="0" applyFont="1" applyFill="1" applyBorder="1" applyAlignment="1" applyProtection="1">
      <alignment horizontal="center" vertical="center" wrapText="1"/>
      <protection hidden="1"/>
    </xf>
    <xf numFmtId="0" fontId="77" fillId="17" borderId="14" xfId="0" applyFont="1" applyFill="1" applyBorder="1" applyAlignment="1" applyProtection="1">
      <alignment horizontal="center" vertical="center" wrapText="1"/>
      <protection hidden="1"/>
    </xf>
    <xf numFmtId="0" fontId="6" fillId="5" borderId="38" xfId="0" applyFont="1" applyFill="1" applyBorder="1" applyAlignment="1" applyProtection="1">
      <alignment horizontal="center" vertical="center" wrapText="1"/>
      <protection hidden="1"/>
    </xf>
    <xf numFmtId="0" fontId="6" fillId="5" borderId="36" xfId="0" applyFont="1" applyFill="1" applyBorder="1" applyAlignment="1" applyProtection="1">
      <alignment horizontal="center" vertical="center" wrapText="1"/>
      <protection hidden="1"/>
    </xf>
    <xf numFmtId="0" fontId="24" fillId="13" borderId="9" xfId="0" applyFont="1" applyFill="1" applyBorder="1" applyAlignment="1" applyProtection="1">
      <alignment horizontal="center" vertical="center" wrapText="1"/>
      <protection hidden="1"/>
    </xf>
    <xf numFmtId="0" fontId="8" fillId="17" borderId="18" xfId="0" applyFont="1" applyFill="1" applyBorder="1" applyAlignment="1" applyProtection="1">
      <alignment horizontal="center" vertical="center" wrapText="1"/>
      <protection hidden="1"/>
    </xf>
    <xf numFmtId="0" fontId="8" fillId="17" borderId="12" xfId="0" applyFont="1" applyFill="1" applyBorder="1" applyAlignment="1" applyProtection="1">
      <alignment horizontal="center" vertical="center" wrapText="1"/>
      <protection hidden="1"/>
    </xf>
    <xf numFmtId="0" fontId="8" fillId="17" borderId="38" xfId="0" applyFont="1" applyFill="1" applyBorder="1" applyAlignment="1" applyProtection="1">
      <alignment horizontal="center" vertical="center" wrapText="1"/>
      <protection hidden="1"/>
    </xf>
    <xf numFmtId="0" fontId="8" fillId="17" borderId="62" xfId="0" applyFont="1" applyFill="1" applyBorder="1" applyAlignment="1" applyProtection="1">
      <alignment horizontal="center" vertical="center" wrapText="1"/>
      <protection hidden="1"/>
    </xf>
    <xf numFmtId="0" fontId="6" fillId="22" borderId="60" xfId="0" applyFont="1" applyFill="1" applyBorder="1" applyAlignment="1" applyProtection="1">
      <alignment horizontal="center" vertical="center" wrapText="1"/>
      <protection hidden="1"/>
    </xf>
    <xf numFmtId="0" fontId="6" fillId="22" borderId="61" xfId="0" applyFont="1" applyFill="1" applyBorder="1" applyAlignment="1" applyProtection="1">
      <alignment horizontal="center" vertical="center" wrapText="1"/>
      <protection hidden="1"/>
    </xf>
    <xf numFmtId="0" fontId="6" fillId="22" borderId="50" xfId="0" applyFont="1" applyFill="1" applyBorder="1" applyAlignment="1" applyProtection="1">
      <alignment horizontal="center" vertical="center" wrapText="1"/>
      <protection hidden="1"/>
    </xf>
    <xf numFmtId="0" fontId="6" fillId="17" borderId="33" xfId="0" applyFont="1" applyFill="1" applyBorder="1" applyAlignment="1" applyProtection="1">
      <alignment horizontal="center" vertical="center" wrapText="1"/>
      <protection hidden="1"/>
    </xf>
    <xf numFmtId="0" fontId="6" fillId="17" borderId="61" xfId="0" applyFont="1" applyFill="1" applyBorder="1" applyAlignment="1" applyProtection="1">
      <alignment horizontal="center" vertical="center" wrapText="1"/>
      <protection hidden="1"/>
    </xf>
    <xf numFmtId="0" fontId="6" fillId="17" borderId="50" xfId="0" applyFont="1" applyFill="1" applyBorder="1" applyAlignment="1" applyProtection="1">
      <alignment horizontal="center" vertical="center" wrapText="1"/>
      <protection hidden="1"/>
    </xf>
    <xf numFmtId="0" fontId="24" fillId="6" borderId="29" xfId="0" applyNumberFormat="1" applyFont="1" applyFill="1" applyBorder="1" applyAlignment="1" applyProtection="1">
      <alignment horizontal="center" vertical="center" wrapText="1"/>
      <protection hidden="1"/>
    </xf>
    <xf numFmtId="0" fontId="24" fillId="6" borderId="7" xfId="0" applyNumberFormat="1" applyFont="1" applyFill="1" applyBorder="1" applyAlignment="1" applyProtection="1">
      <alignment horizontal="center" vertical="center" wrapText="1"/>
      <protection hidden="1"/>
    </xf>
    <xf numFmtId="0" fontId="24" fillId="6" borderId="8" xfId="0" applyNumberFormat="1" applyFont="1" applyFill="1" applyBorder="1" applyAlignment="1" applyProtection="1">
      <alignment horizontal="center" vertical="center" wrapText="1"/>
      <protection hidden="1"/>
    </xf>
    <xf numFmtId="0" fontId="30" fillId="5" borderId="32" xfId="0" applyFont="1" applyFill="1" applyBorder="1" applyAlignment="1" applyProtection="1">
      <alignment horizontal="center" vertical="center" wrapText="1"/>
      <protection hidden="1"/>
    </xf>
    <xf numFmtId="0" fontId="30" fillId="5" borderId="34" xfId="0" applyFont="1" applyFill="1" applyBorder="1" applyAlignment="1" applyProtection="1">
      <alignment horizontal="center" vertical="center" wrapText="1"/>
      <protection hidden="1"/>
    </xf>
    <xf numFmtId="0" fontId="30" fillId="5" borderId="18" xfId="0" applyFont="1" applyFill="1" applyBorder="1" applyAlignment="1" applyProtection="1">
      <alignment horizontal="center" vertical="center" wrapText="1"/>
      <protection hidden="1"/>
    </xf>
    <xf numFmtId="0" fontId="30" fillId="5" borderId="9" xfId="0" applyFont="1" applyFill="1" applyBorder="1" applyAlignment="1" applyProtection="1">
      <alignment horizontal="center" vertical="center" wrapText="1"/>
      <protection hidden="1"/>
    </xf>
    <xf numFmtId="0" fontId="8" fillId="17" borderId="32" xfId="0" applyFont="1" applyFill="1" applyBorder="1" applyAlignment="1" applyProtection="1">
      <alignment horizontal="center" vertical="center" wrapText="1"/>
      <protection hidden="1"/>
    </xf>
    <xf numFmtId="0" fontId="8" fillId="17" borderId="44" xfId="0" applyFont="1" applyFill="1" applyBorder="1" applyAlignment="1" applyProtection="1">
      <alignment horizontal="center" vertical="center" wrapText="1"/>
      <protection hidden="1"/>
    </xf>
    <xf numFmtId="0" fontId="4" fillId="17" borderId="33" xfId="0" applyFont="1" applyFill="1" applyBorder="1" applyAlignment="1" applyProtection="1">
      <alignment horizontal="center" vertical="center" wrapText="1"/>
      <protection hidden="1"/>
    </xf>
    <xf numFmtId="0" fontId="4" fillId="17" borderId="50" xfId="0" applyFont="1" applyFill="1" applyBorder="1" applyAlignment="1" applyProtection="1">
      <alignment horizontal="center" vertical="center" wrapText="1"/>
      <protection hidden="1"/>
    </xf>
    <xf numFmtId="0" fontId="4" fillId="17" borderId="56" xfId="0" applyFont="1" applyFill="1" applyBorder="1" applyAlignment="1" applyProtection="1">
      <alignment horizontal="center" vertical="center" wrapText="1"/>
      <protection hidden="1"/>
    </xf>
    <xf numFmtId="0" fontId="4" fillId="17" borderId="60" xfId="0" applyFont="1" applyFill="1" applyBorder="1" applyAlignment="1" applyProtection="1">
      <alignment horizontal="center" vertical="center" wrapText="1"/>
      <protection hidden="1"/>
    </xf>
    <xf numFmtId="0" fontId="8" fillId="17" borderId="43" xfId="0" applyFont="1" applyFill="1" applyBorder="1" applyAlignment="1" applyProtection="1">
      <alignment horizontal="center" vertical="center" wrapText="1"/>
      <protection hidden="1"/>
    </xf>
    <xf numFmtId="0" fontId="8" fillId="17" borderId="39" xfId="0" applyFont="1" applyFill="1" applyBorder="1" applyAlignment="1" applyProtection="1">
      <alignment horizontal="center" vertical="center" wrapText="1"/>
      <protection hidden="1"/>
    </xf>
    <xf numFmtId="0" fontId="2" fillId="6" borderId="6" xfId="0" applyFont="1" applyFill="1" applyBorder="1" applyAlignment="1" applyProtection="1">
      <alignment horizontal="center" vertical="center" wrapText="1"/>
      <protection locked="0" hidden="1"/>
    </xf>
    <xf numFmtId="0" fontId="2" fillId="6" borderId="8" xfId="0" applyFont="1" applyFill="1" applyBorder="1" applyAlignment="1" applyProtection="1">
      <alignment horizontal="center" vertical="center" wrapText="1"/>
      <protection locked="0" hidden="1"/>
    </xf>
    <xf numFmtId="0" fontId="9" fillId="25" borderId="76" xfId="6" applyBorder="1" applyAlignment="1" applyProtection="1">
      <alignment horizontal="center" vertical="center" wrapText="1"/>
      <protection locked="0" hidden="1"/>
    </xf>
    <xf numFmtId="0" fontId="9" fillId="25" borderId="52" xfId="6" applyBorder="1" applyAlignment="1" applyProtection="1">
      <alignment horizontal="center" vertical="center" wrapText="1"/>
      <protection locked="0" hidden="1"/>
    </xf>
    <xf numFmtId="14" fontId="24" fillId="13" borderId="12" xfId="0" applyNumberFormat="1" applyFont="1" applyFill="1" applyBorder="1" applyAlignment="1" applyProtection="1">
      <alignment horizontal="center" vertical="center" wrapText="1"/>
      <protection hidden="1"/>
    </xf>
    <xf numFmtId="14" fontId="24" fillId="13" borderId="18" xfId="0" applyNumberFormat="1" applyFont="1" applyFill="1" applyBorder="1" applyAlignment="1" applyProtection="1">
      <alignment horizontal="center" vertical="center" wrapText="1"/>
      <protection hidden="1"/>
    </xf>
    <xf numFmtId="1" fontId="24" fillId="13" borderId="12" xfId="0" applyNumberFormat="1" applyFont="1" applyFill="1" applyBorder="1" applyAlignment="1" applyProtection="1">
      <alignment horizontal="center" vertical="center" wrapText="1"/>
      <protection hidden="1"/>
    </xf>
    <xf numFmtId="1" fontId="24" fillId="13" borderId="18" xfId="0" applyNumberFormat="1" applyFont="1" applyFill="1" applyBorder="1" applyAlignment="1" applyProtection="1">
      <alignment horizontal="center" vertical="center" wrapText="1"/>
      <protection hidden="1"/>
    </xf>
    <xf numFmtId="0" fontId="18" fillId="0" borderId="6" xfId="0" applyFont="1" applyFill="1" applyBorder="1" applyAlignment="1" applyProtection="1">
      <alignment horizontal="center" vertical="center" wrapText="1"/>
      <protection hidden="1"/>
    </xf>
    <xf numFmtId="0" fontId="18" fillId="0" borderId="7" xfId="0" applyFont="1" applyFill="1" applyBorder="1" applyAlignment="1" applyProtection="1">
      <alignment horizontal="center" vertical="center" wrapText="1"/>
      <protection hidden="1"/>
    </xf>
    <xf numFmtId="0" fontId="18" fillId="0" borderId="8" xfId="0" applyFont="1" applyFill="1" applyBorder="1" applyAlignment="1" applyProtection="1">
      <alignment horizontal="center" vertical="center" wrapText="1"/>
      <protection hidden="1"/>
    </xf>
    <xf numFmtId="170" fontId="24" fillId="6" borderId="29" xfId="0" applyNumberFormat="1" applyFont="1" applyFill="1" applyBorder="1" applyAlignment="1" applyProtection="1">
      <alignment horizontal="center" vertical="center" wrapText="1"/>
      <protection hidden="1"/>
    </xf>
    <xf numFmtId="170" fontId="24" fillId="6" borderId="21" xfId="0" applyNumberFormat="1" applyFont="1" applyFill="1" applyBorder="1" applyAlignment="1" applyProtection="1">
      <alignment horizontal="center" vertical="center" wrapText="1"/>
      <protection hidden="1"/>
    </xf>
    <xf numFmtId="14" fontId="24" fillId="6" borderId="22" xfId="0" applyNumberFormat="1" applyFont="1" applyFill="1" applyBorder="1" applyAlignment="1" applyProtection="1">
      <alignment horizontal="center" vertical="center" wrapText="1"/>
      <protection hidden="1"/>
    </xf>
    <xf numFmtId="14" fontId="24" fillId="5" borderId="22" xfId="0" applyNumberFormat="1" applyFont="1" applyFill="1" applyBorder="1" applyAlignment="1" applyProtection="1">
      <alignment horizontal="center" vertical="center" wrapText="1"/>
      <protection hidden="1"/>
    </xf>
    <xf numFmtId="14" fontId="24" fillId="6" borderId="20" xfId="0" applyNumberFormat="1" applyFont="1" applyFill="1" applyBorder="1" applyAlignment="1" applyProtection="1">
      <alignment horizontal="center" vertical="center" wrapText="1"/>
      <protection hidden="1"/>
    </xf>
    <xf numFmtId="0" fontId="1" fillId="5" borderId="19" xfId="0" applyFont="1" applyFill="1" applyBorder="1" applyAlignment="1" applyProtection="1">
      <alignment horizontal="center" vertical="center" wrapText="1"/>
      <protection hidden="1"/>
    </xf>
    <xf numFmtId="0" fontId="1" fillId="5" borderId="29" xfId="0" applyFont="1" applyFill="1" applyBorder="1" applyAlignment="1" applyProtection="1">
      <alignment horizontal="center" vertical="center" wrapText="1"/>
      <protection hidden="1"/>
    </xf>
    <xf numFmtId="0" fontId="2" fillId="6" borderId="19" xfId="0" applyFont="1" applyFill="1" applyBorder="1" applyAlignment="1" applyProtection="1">
      <alignment horizontal="center" vertical="center" wrapText="1"/>
      <protection locked="0" hidden="1"/>
    </xf>
    <xf numFmtId="0" fontId="2" fillId="6" borderId="20" xfId="0" applyFont="1" applyFill="1" applyBorder="1" applyAlignment="1" applyProtection="1">
      <alignment horizontal="center" vertical="center" wrapText="1"/>
      <protection locked="0" hidden="1"/>
    </xf>
    <xf numFmtId="0" fontId="30" fillId="5" borderId="53" xfId="0" applyFont="1" applyFill="1" applyBorder="1" applyAlignment="1" applyProtection="1">
      <alignment horizontal="center" vertical="center" wrapText="1"/>
      <protection hidden="1"/>
    </xf>
    <xf numFmtId="0" fontId="30" fillId="5" borderId="15" xfId="0" applyFont="1" applyFill="1" applyBorder="1" applyAlignment="1" applyProtection="1">
      <alignment horizontal="center" vertical="center" wrapText="1"/>
      <protection hidden="1"/>
    </xf>
    <xf numFmtId="0" fontId="8" fillId="5" borderId="77" xfId="0" applyFont="1" applyFill="1" applyBorder="1" applyAlignment="1" applyProtection="1">
      <alignment horizontal="center" vertical="center" wrapText="1"/>
      <protection hidden="1"/>
    </xf>
    <xf numFmtId="0" fontId="8" fillId="5" borderId="47"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center" vertical="center" wrapText="1"/>
      <protection hidden="1"/>
    </xf>
    <xf numFmtId="0" fontId="43" fillId="2" borderId="0" xfId="0" applyFont="1" applyFill="1" applyBorder="1" applyAlignment="1" applyProtection="1">
      <alignment horizontal="center" vertical="center" wrapText="1"/>
      <protection hidden="1"/>
    </xf>
    <xf numFmtId="0" fontId="39" fillId="2" borderId="37" xfId="0" applyFont="1" applyFill="1" applyBorder="1" applyAlignment="1" applyProtection="1">
      <alignment horizontal="center" vertical="center" wrapText="1"/>
      <protection hidden="1"/>
    </xf>
    <xf numFmtId="0" fontId="39" fillId="2" borderId="23" xfId="0" applyFont="1" applyFill="1" applyBorder="1" applyAlignment="1" applyProtection="1">
      <alignment horizontal="center" vertical="center" wrapText="1"/>
      <protection hidden="1"/>
    </xf>
    <xf numFmtId="0" fontId="1" fillId="17" borderId="6" xfId="0" applyFont="1" applyFill="1" applyBorder="1" applyAlignment="1" applyProtection="1">
      <alignment horizontal="center" vertical="center" wrapText="1"/>
      <protection hidden="1"/>
    </xf>
    <xf numFmtId="0" fontId="1" fillId="17" borderId="21" xfId="0" applyFont="1" applyFill="1" applyBorder="1" applyAlignment="1" applyProtection="1">
      <alignment horizontal="center" vertical="center" wrapText="1"/>
      <protection hidden="1"/>
    </xf>
    <xf numFmtId="0" fontId="4" fillId="5" borderId="60" xfId="0" applyFont="1" applyFill="1" applyBorder="1" applyAlignment="1" applyProtection="1">
      <alignment horizontal="center" vertical="center" wrapText="1"/>
      <protection hidden="1"/>
    </xf>
    <xf numFmtId="0" fontId="4" fillId="5" borderId="61"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0" fontId="7" fillId="15" borderId="57" xfId="0" applyFont="1" applyFill="1" applyBorder="1" applyAlignment="1" applyProtection="1">
      <alignment horizontal="center" vertical="center" wrapText="1"/>
      <protection hidden="1"/>
    </xf>
    <xf numFmtId="0" fontId="7" fillId="15" borderId="64" xfId="0" applyFont="1" applyFill="1" applyBorder="1" applyAlignment="1" applyProtection="1">
      <alignment horizontal="center" vertical="center" wrapText="1"/>
      <protection hidden="1"/>
    </xf>
    <xf numFmtId="0" fontId="7" fillId="15" borderId="59" xfId="0" applyFont="1" applyFill="1" applyBorder="1" applyAlignment="1" applyProtection="1">
      <alignment horizontal="center" vertical="center" wrapText="1"/>
      <protection hidden="1"/>
    </xf>
    <xf numFmtId="0" fontId="5" fillId="5" borderId="75" xfId="0" applyFont="1" applyFill="1" applyBorder="1" applyAlignment="1" applyProtection="1">
      <alignment horizontal="center" vertical="center" wrapText="1"/>
      <protection hidden="1"/>
    </xf>
    <xf numFmtId="0" fontId="5" fillId="5" borderId="52" xfId="0" applyFont="1" applyFill="1" applyBorder="1" applyAlignment="1" applyProtection="1">
      <alignment horizontal="center" vertical="center" wrapText="1"/>
      <protection hidden="1"/>
    </xf>
    <xf numFmtId="0" fontId="5" fillId="5" borderId="76" xfId="0" applyFont="1" applyFill="1" applyBorder="1" applyAlignment="1" applyProtection="1">
      <alignment horizontal="center" vertical="center" wrapText="1"/>
      <protection hidden="1"/>
    </xf>
    <xf numFmtId="0" fontId="24" fillId="0" borderId="2" xfId="0" applyFont="1" applyFill="1" applyBorder="1" applyAlignment="1" applyProtection="1">
      <alignment horizontal="center" vertical="center" wrapText="1"/>
      <protection locked="0" hidden="1"/>
    </xf>
    <xf numFmtId="0" fontId="24" fillId="0" borderId="3" xfId="0" applyFont="1" applyFill="1" applyBorder="1" applyAlignment="1" applyProtection="1">
      <alignment horizontal="center" vertical="center" wrapText="1"/>
      <protection locked="0" hidden="1"/>
    </xf>
    <xf numFmtId="0" fontId="24" fillId="0" borderId="4" xfId="0" applyFont="1" applyFill="1" applyBorder="1" applyAlignment="1" applyProtection="1">
      <alignment horizontal="center" vertical="center" wrapText="1"/>
      <protection locked="0" hidden="1"/>
    </xf>
    <xf numFmtId="0" fontId="24" fillId="0" borderId="10" xfId="0" applyFont="1" applyFill="1" applyBorder="1" applyAlignment="1" applyProtection="1">
      <alignment horizontal="center" vertical="center" wrapText="1"/>
      <protection locked="0" hidden="1"/>
    </xf>
    <xf numFmtId="0" fontId="24" fillId="0" borderId="0" xfId="0" applyFont="1" applyFill="1" applyBorder="1" applyAlignment="1" applyProtection="1">
      <alignment horizontal="center" vertical="center" wrapText="1"/>
      <protection locked="0" hidden="1"/>
    </xf>
    <xf numFmtId="0" fontId="24" fillId="0" borderId="51" xfId="0" applyFont="1" applyFill="1" applyBorder="1" applyAlignment="1" applyProtection="1">
      <alignment horizontal="center" vertical="center" wrapText="1"/>
      <protection locked="0" hidden="1"/>
    </xf>
    <xf numFmtId="0" fontId="24" fillId="0" borderId="49" xfId="0" applyFont="1" applyFill="1" applyBorder="1" applyAlignment="1" applyProtection="1">
      <alignment horizontal="center" vertical="center" wrapText="1"/>
      <protection locked="0" hidden="1"/>
    </xf>
    <xf numFmtId="0" fontId="24" fillId="0" borderId="5" xfId="0" applyFont="1" applyFill="1" applyBorder="1" applyAlignment="1" applyProtection="1">
      <alignment horizontal="center" vertical="center" wrapText="1"/>
      <protection locked="0" hidden="1"/>
    </xf>
    <xf numFmtId="0" fontId="24" fillId="0" borderId="40" xfId="0" applyFont="1" applyFill="1" applyBorder="1" applyAlignment="1" applyProtection="1">
      <alignment horizontal="center" vertical="center" wrapText="1"/>
      <protection locked="0" hidden="1"/>
    </xf>
    <xf numFmtId="0" fontId="34" fillId="5" borderId="37" xfId="0" applyFont="1" applyFill="1" applyBorder="1" applyAlignment="1" applyProtection="1">
      <alignment horizontal="center" vertical="center" wrapText="1"/>
      <protection hidden="1"/>
    </xf>
    <xf numFmtId="0" fontId="34" fillId="5" borderId="14" xfId="0" applyFont="1" applyFill="1" applyBorder="1" applyAlignment="1" applyProtection="1">
      <alignment horizontal="center" vertical="center" wrapText="1"/>
      <protection hidden="1"/>
    </xf>
    <xf numFmtId="0" fontId="24" fillId="2" borderId="45" xfId="0" applyFont="1" applyFill="1" applyBorder="1" applyAlignment="1" applyProtection="1">
      <alignment horizontal="center" vertical="center" wrapText="1"/>
      <protection hidden="1"/>
    </xf>
    <xf numFmtId="0" fontId="24" fillId="2" borderId="57" xfId="0" applyFont="1" applyFill="1" applyBorder="1" applyAlignment="1" applyProtection="1">
      <alignment horizontal="center" vertical="center" wrapText="1"/>
      <protection hidden="1"/>
    </xf>
    <xf numFmtId="0" fontId="1" fillId="2" borderId="35" xfId="0" applyFont="1" applyFill="1" applyBorder="1" applyAlignment="1" applyProtection="1">
      <alignment horizontal="center" vertical="center" wrapText="1"/>
      <protection hidden="1"/>
    </xf>
    <xf numFmtId="0" fontId="7" fillId="5" borderId="45" xfId="0" applyFont="1" applyFill="1" applyBorder="1" applyAlignment="1" applyProtection="1">
      <alignment horizontal="center" vertical="center" wrapText="1"/>
      <protection hidden="1"/>
    </xf>
    <xf numFmtId="0" fontId="7" fillId="5" borderId="46" xfId="0" applyFont="1" applyFill="1" applyBorder="1" applyAlignment="1" applyProtection="1">
      <alignment horizontal="center" vertical="center" wrapText="1"/>
      <protection hidden="1"/>
    </xf>
    <xf numFmtId="0" fontId="7" fillId="5" borderId="41" xfId="0" applyFont="1" applyFill="1" applyBorder="1" applyAlignment="1" applyProtection="1">
      <alignment horizontal="center" vertical="center" wrapText="1"/>
      <protection hidden="1"/>
    </xf>
    <xf numFmtId="0" fontId="7" fillId="5" borderId="42" xfId="0" applyFont="1" applyFill="1" applyBorder="1" applyAlignment="1" applyProtection="1">
      <alignment horizontal="center" vertical="center" wrapText="1"/>
      <protection hidden="1"/>
    </xf>
    <xf numFmtId="0" fontId="49" fillId="9" borderId="6" xfId="0" applyFont="1" applyFill="1" applyBorder="1" applyAlignment="1" applyProtection="1">
      <alignment horizontal="center" vertical="center" wrapText="1"/>
      <protection hidden="1"/>
    </xf>
    <xf numFmtId="0" fontId="49" fillId="9" borderId="7" xfId="0" applyFont="1" applyFill="1" applyBorder="1" applyAlignment="1" applyProtection="1">
      <alignment horizontal="center" vertical="center" wrapText="1"/>
      <protection hidden="1"/>
    </xf>
    <xf numFmtId="0" fontId="49" fillId="9" borderId="8" xfId="0" applyFont="1" applyFill="1" applyBorder="1" applyAlignment="1" applyProtection="1">
      <alignment horizontal="center" vertical="center" wrapText="1"/>
      <protection hidden="1"/>
    </xf>
    <xf numFmtId="0" fontId="7" fillId="17" borderId="29" xfId="0" applyFont="1" applyFill="1" applyBorder="1" applyAlignment="1" applyProtection="1">
      <alignment horizontal="center" vertical="center" wrapText="1"/>
      <protection hidden="1"/>
    </xf>
    <xf numFmtId="0" fontId="7" fillId="17" borderId="8" xfId="0" applyFont="1" applyFill="1" applyBorder="1" applyAlignment="1" applyProtection="1">
      <alignment horizontal="center" vertical="center" wrapText="1"/>
      <protection hidden="1"/>
    </xf>
    <xf numFmtId="0" fontId="7" fillId="17" borderId="32" xfId="0" applyFont="1" applyFill="1" applyBorder="1" applyAlignment="1" applyProtection="1">
      <alignment horizontal="center" vertical="center" wrapText="1"/>
      <protection hidden="1"/>
    </xf>
    <xf numFmtId="0" fontId="7" fillId="17" borderId="18" xfId="0" applyFont="1" applyFill="1" applyBorder="1" applyAlignment="1" applyProtection="1">
      <alignment horizontal="center" vertical="center" wrapText="1"/>
      <protection hidden="1"/>
    </xf>
    <xf numFmtId="0" fontId="1" fillId="5" borderId="60" xfId="0" applyFont="1" applyFill="1" applyBorder="1" applyAlignment="1" applyProtection="1">
      <alignment horizontal="center" vertical="center" wrapText="1"/>
      <protection hidden="1"/>
    </xf>
    <xf numFmtId="0" fontId="1" fillId="5" borderId="50"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59" fillId="4" borderId="9" xfId="0" applyFont="1" applyFill="1" applyBorder="1" applyAlignment="1" applyProtection="1">
      <alignment horizontal="center" vertical="center" wrapText="1"/>
      <protection hidden="1"/>
    </xf>
    <xf numFmtId="0" fontId="59" fillId="4" borderId="27" xfId="0" applyFont="1" applyFill="1" applyBorder="1" applyAlignment="1" applyProtection="1">
      <alignment horizontal="center" vertical="center" wrapText="1"/>
      <protection hidden="1"/>
    </xf>
    <xf numFmtId="0" fontId="59" fillId="4" borderId="12" xfId="0" applyFont="1" applyFill="1" applyBorder="1" applyAlignment="1" applyProtection="1">
      <alignment horizontal="center" vertical="center" wrapText="1"/>
      <protection hidden="1"/>
    </xf>
    <xf numFmtId="170" fontId="24" fillId="6" borderId="22" xfId="0" applyNumberFormat="1" applyFont="1" applyFill="1" applyBorder="1" applyAlignment="1" applyProtection="1">
      <alignment horizontal="center" vertical="center" wrapText="1"/>
      <protection hidden="1"/>
    </xf>
    <xf numFmtId="0" fontId="59" fillId="4" borderId="25" xfId="0" applyFont="1" applyFill="1" applyBorder="1" applyAlignment="1" applyProtection="1">
      <alignment horizontal="center" vertical="center" wrapText="1"/>
      <protection hidden="1"/>
    </xf>
    <xf numFmtId="0" fontId="59" fillId="4" borderId="26" xfId="0" applyFont="1" applyFill="1" applyBorder="1" applyAlignment="1" applyProtection="1">
      <alignment horizontal="center" vertical="center" wrapText="1"/>
      <protection hidden="1"/>
    </xf>
    <xf numFmtId="0" fontId="59" fillId="4" borderId="24" xfId="0" applyFont="1" applyFill="1" applyBorder="1" applyAlignment="1" applyProtection="1">
      <alignment horizontal="center" vertical="center" wrapText="1"/>
      <protection hidden="1"/>
    </xf>
    <xf numFmtId="0" fontId="59" fillId="4" borderId="0" xfId="0" applyFont="1" applyFill="1" applyBorder="1" applyAlignment="1" applyProtection="1">
      <alignment horizontal="center" vertical="center" wrapText="1"/>
      <protection hidden="1"/>
    </xf>
    <xf numFmtId="0" fontId="59" fillId="4" borderId="16" xfId="0" applyFont="1" applyFill="1" applyBorder="1" applyAlignment="1" applyProtection="1">
      <alignment horizontal="center" vertical="center" wrapText="1"/>
      <protection hidden="1"/>
    </xf>
    <xf numFmtId="0" fontId="55" fillId="0" borderId="10" xfId="0" applyFont="1" applyFill="1" applyBorder="1" applyAlignment="1" applyProtection="1">
      <alignment horizontal="center" vertical="center" wrapText="1"/>
      <protection hidden="1"/>
    </xf>
    <xf numFmtId="0" fontId="55" fillId="0"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1" fillId="5" borderId="37" xfId="0" applyFont="1" applyFill="1" applyBorder="1" applyAlignment="1" applyProtection="1">
      <alignment horizontal="center" vertical="top" wrapText="1"/>
      <protection hidden="1"/>
    </xf>
    <xf numFmtId="0" fontId="1" fillId="5" borderId="14" xfId="0" applyFont="1" applyFill="1" applyBorder="1" applyAlignment="1" applyProtection="1">
      <alignment horizontal="center" vertical="top" wrapText="1"/>
      <protection hidden="1"/>
    </xf>
    <xf numFmtId="0" fontId="1" fillId="5" borderId="37" xfId="0" applyFont="1" applyFill="1" applyBorder="1" applyAlignment="1" applyProtection="1">
      <alignment horizontal="center" vertical="top"/>
      <protection hidden="1"/>
    </xf>
    <xf numFmtId="0" fontId="1" fillId="5" borderId="14" xfId="0" applyFont="1" applyFill="1" applyBorder="1" applyAlignment="1" applyProtection="1">
      <alignment horizontal="center" vertical="top"/>
      <protection hidden="1"/>
    </xf>
    <xf numFmtId="0" fontId="1" fillId="5" borderId="60" xfId="0" applyFont="1" applyFill="1" applyBorder="1" applyAlignment="1" applyProtection="1">
      <alignment horizontal="center" vertical="top" wrapText="1"/>
      <protection hidden="1"/>
    </xf>
    <xf numFmtId="0" fontId="1" fillId="5" borderId="50" xfId="0" applyFont="1" applyFill="1" applyBorder="1" applyAlignment="1" applyProtection="1">
      <alignment horizontal="center" vertical="top" wrapText="1"/>
      <protection hidden="1"/>
    </xf>
    <xf numFmtId="0" fontId="7" fillId="5" borderId="72" xfId="0"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78" xfId="0" applyFont="1" applyFill="1" applyBorder="1" applyAlignment="1" applyProtection="1">
      <alignment horizontal="center" vertical="center" wrapText="1"/>
      <protection hidden="1"/>
    </xf>
    <xf numFmtId="0" fontId="7" fillId="5" borderId="68" xfId="0" applyFont="1" applyFill="1" applyBorder="1" applyAlignment="1" applyProtection="1">
      <alignment horizontal="center" vertical="center" wrapText="1"/>
      <protection hidden="1"/>
    </xf>
    <xf numFmtId="0" fontId="7" fillId="5" borderId="38" xfId="0" applyFont="1" applyFill="1" applyBorder="1" applyAlignment="1" applyProtection="1">
      <alignment horizontal="center" vertical="center" wrapText="1"/>
      <protection hidden="1"/>
    </xf>
    <xf numFmtId="0" fontId="1" fillId="5" borderId="58" xfId="0" applyFont="1" applyFill="1" applyBorder="1" applyAlignment="1" applyProtection="1">
      <alignment horizontal="center" vertical="top" wrapText="1"/>
      <protection hidden="1"/>
    </xf>
    <xf numFmtId="0" fontId="1" fillId="5" borderId="59" xfId="0" applyFont="1" applyFill="1" applyBorder="1" applyAlignment="1" applyProtection="1">
      <alignment horizontal="center" vertical="top" wrapText="1"/>
      <protection hidden="1"/>
    </xf>
    <xf numFmtId="0" fontId="59" fillId="4" borderId="6" xfId="0" applyFont="1" applyFill="1" applyBorder="1" applyAlignment="1" applyProtection="1">
      <alignment horizontal="center" vertical="center" wrapText="1"/>
      <protection hidden="1"/>
    </xf>
    <xf numFmtId="0" fontId="59" fillId="4" borderId="7" xfId="0" applyFont="1" applyFill="1" applyBorder="1" applyAlignment="1" applyProtection="1">
      <alignment horizontal="center" vertical="center" wrapText="1"/>
      <protection hidden="1"/>
    </xf>
    <xf numFmtId="0" fontId="59" fillId="4" borderId="8" xfId="0" applyFont="1" applyFill="1" applyBorder="1" applyAlignment="1" applyProtection="1">
      <alignment horizontal="center" vertical="center" wrapText="1"/>
      <protection hidden="1"/>
    </xf>
    <xf numFmtId="0" fontId="1" fillId="5" borderId="21" xfId="0" applyFont="1" applyFill="1" applyBorder="1" applyAlignment="1" applyProtection="1">
      <alignment horizontal="center" vertical="center" wrapText="1"/>
      <protection hidden="1"/>
    </xf>
    <xf numFmtId="0" fontId="1" fillId="5" borderId="30" xfId="0" applyFont="1" applyFill="1" applyBorder="1" applyAlignment="1" applyProtection="1">
      <alignment horizontal="center" vertical="top" wrapText="1"/>
      <protection hidden="1"/>
    </xf>
    <xf numFmtId="0" fontId="1" fillId="5" borderId="3" xfId="0" applyFont="1" applyFill="1" applyBorder="1" applyAlignment="1" applyProtection="1">
      <alignment horizontal="center" vertical="top" wrapText="1"/>
      <protection hidden="1"/>
    </xf>
    <xf numFmtId="0" fontId="1" fillId="5" borderId="4" xfId="0" applyFont="1" applyFill="1" applyBorder="1" applyAlignment="1" applyProtection="1">
      <alignment horizontal="center" vertical="top" wrapText="1"/>
      <protection hidden="1"/>
    </xf>
    <xf numFmtId="0" fontId="1" fillId="5" borderId="28" xfId="0" applyFont="1" applyFill="1" applyBorder="1" applyAlignment="1" applyProtection="1">
      <alignment horizontal="center" vertical="top" wrapText="1"/>
      <protection hidden="1"/>
    </xf>
    <xf numFmtId="0" fontId="1" fillId="5" borderId="13" xfId="0" applyFont="1" applyFill="1" applyBorder="1" applyAlignment="1" applyProtection="1">
      <alignment horizontal="center" vertical="top" wrapText="1"/>
      <protection hidden="1"/>
    </xf>
    <xf numFmtId="0" fontId="1" fillId="5" borderId="65" xfId="0" applyFont="1" applyFill="1" applyBorder="1" applyAlignment="1" applyProtection="1">
      <alignment horizontal="center" vertical="top" wrapText="1"/>
      <protection hidden="1"/>
    </xf>
    <xf numFmtId="166" fontId="2" fillId="14" borderId="57" xfId="0" applyNumberFormat="1" applyFont="1" applyFill="1" applyBorder="1" applyAlignment="1" applyProtection="1">
      <alignment horizontal="center" vertical="center"/>
      <protection hidden="1"/>
    </xf>
    <xf numFmtId="166" fontId="2" fillId="14" borderId="64" xfId="0" applyNumberFormat="1" applyFont="1" applyFill="1" applyBorder="1" applyAlignment="1" applyProtection="1">
      <alignment horizontal="center" vertical="center"/>
      <protection hidden="1"/>
    </xf>
    <xf numFmtId="166" fontId="2" fillId="14" borderId="63" xfId="0" applyNumberFormat="1" applyFont="1" applyFill="1" applyBorder="1" applyAlignment="1" applyProtection="1">
      <alignment horizontal="center" vertical="center"/>
      <protection hidden="1"/>
    </xf>
    <xf numFmtId="0" fontId="59" fillId="9" borderId="6" xfId="0" applyFont="1" applyFill="1" applyBorder="1" applyAlignment="1" applyProtection="1">
      <alignment horizontal="center" vertical="center" wrapText="1"/>
      <protection hidden="1"/>
    </xf>
    <xf numFmtId="0" fontId="59" fillId="9" borderId="7" xfId="0" applyFont="1" applyFill="1" applyBorder="1" applyAlignment="1" applyProtection="1">
      <alignment horizontal="center" vertical="center" wrapText="1"/>
      <protection hidden="1"/>
    </xf>
    <xf numFmtId="0" fontId="59" fillId="9" borderId="8" xfId="0" applyFont="1" applyFill="1" applyBorder="1" applyAlignment="1" applyProtection="1">
      <alignment horizontal="center" vertical="center" wrapText="1"/>
      <protection hidden="1"/>
    </xf>
    <xf numFmtId="0" fontId="59" fillId="9" borderId="2" xfId="0" applyFont="1" applyFill="1" applyBorder="1" applyAlignment="1" applyProtection="1">
      <alignment horizontal="center" vertical="center"/>
      <protection hidden="1"/>
    </xf>
    <xf numFmtId="0" fontId="59" fillId="9" borderId="3" xfId="0" applyFont="1" applyFill="1" applyBorder="1" applyAlignment="1" applyProtection="1">
      <alignment horizontal="center" vertical="center"/>
      <protection hidden="1"/>
    </xf>
    <xf numFmtId="0" fontId="59" fillId="9" borderId="4" xfId="0" applyFont="1" applyFill="1" applyBorder="1" applyAlignment="1" applyProtection="1">
      <alignment horizontal="center" vertical="center"/>
      <protection hidden="1"/>
    </xf>
    <xf numFmtId="2" fontId="44" fillId="15" borderId="62" xfId="0" applyNumberFormat="1" applyFont="1" applyFill="1" applyBorder="1" applyAlignment="1" applyProtection="1">
      <alignment horizontal="center" vertical="center" wrapText="1"/>
      <protection hidden="1"/>
    </xf>
    <xf numFmtId="2" fontId="44" fillId="15" borderId="68" xfId="0" applyNumberFormat="1" applyFont="1" applyFill="1" applyBorder="1" applyAlignment="1" applyProtection="1">
      <alignment horizontal="center" vertical="center" wrapText="1"/>
      <protection hidden="1"/>
    </xf>
    <xf numFmtId="2" fontId="44" fillId="15" borderId="83" xfId="0" applyNumberFormat="1" applyFont="1" applyFill="1" applyBorder="1" applyAlignment="1" applyProtection="1">
      <alignment horizontal="center" vertical="center" wrapText="1"/>
      <protection hidden="1"/>
    </xf>
    <xf numFmtId="167" fontId="44" fillId="15" borderId="76" xfId="0" applyNumberFormat="1" applyFont="1" applyFill="1" applyBorder="1" applyAlignment="1" applyProtection="1">
      <alignment horizontal="center" vertical="center" wrapText="1"/>
      <protection hidden="1"/>
    </xf>
    <xf numFmtId="167" fontId="44" fillId="15" borderId="75" xfId="0" applyNumberFormat="1" applyFont="1" applyFill="1" applyBorder="1" applyAlignment="1" applyProtection="1">
      <alignment horizontal="center" vertical="center" wrapText="1"/>
      <protection hidden="1"/>
    </xf>
    <xf numFmtId="167" fontId="44" fillId="15" borderId="52" xfId="0" applyNumberFormat="1" applyFont="1" applyFill="1" applyBorder="1" applyAlignment="1" applyProtection="1">
      <alignment horizontal="center" vertical="center" wrapText="1"/>
      <protection hidden="1"/>
    </xf>
    <xf numFmtId="2" fontId="24" fillId="16" borderId="9" xfId="0" applyNumberFormat="1" applyFont="1" applyFill="1" applyBorder="1" applyAlignment="1" applyProtection="1">
      <alignment horizontal="center" vertical="center" wrapText="1"/>
      <protection hidden="1"/>
    </xf>
    <xf numFmtId="2" fontId="24" fillId="16" borderId="46" xfId="0" applyNumberFormat="1" applyFont="1" applyFill="1" applyBorder="1" applyAlignment="1" applyProtection="1">
      <alignment horizontal="center" vertical="center" wrapText="1"/>
      <protection hidden="1"/>
    </xf>
    <xf numFmtId="0" fontId="7" fillId="5" borderId="77" xfId="0" applyFont="1" applyFill="1" applyBorder="1" applyAlignment="1" applyProtection="1">
      <alignment horizontal="center" vertical="center" wrapText="1"/>
      <protection hidden="1"/>
    </xf>
    <xf numFmtId="0" fontId="7" fillId="5" borderId="53" xfId="0" applyFont="1" applyFill="1" applyBorder="1" applyAlignment="1" applyProtection="1">
      <alignment horizontal="center" vertical="center" wrapText="1"/>
      <protection hidden="1"/>
    </xf>
    <xf numFmtId="0" fontId="59" fillId="26" borderId="2" xfId="0" applyFont="1" applyFill="1" applyBorder="1" applyAlignment="1" applyProtection="1">
      <alignment horizontal="center" vertical="center" wrapText="1"/>
      <protection hidden="1"/>
    </xf>
    <xf numFmtId="0" fontId="59" fillId="26" borderId="3" xfId="0" applyFont="1" applyFill="1" applyBorder="1" applyAlignment="1" applyProtection="1">
      <alignment horizontal="center" vertical="center" wrapText="1"/>
      <protection hidden="1"/>
    </xf>
    <xf numFmtId="0" fontId="59" fillId="26" borderId="4" xfId="0" applyFont="1" applyFill="1" applyBorder="1" applyAlignment="1" applyProtection="1">
      <alignment horizontal="center" vertical="center" wrapText="1"/>
      <protection hidden="1"/>
    </xf>
    <xf numFmtId="0" fontId="7" fillId="5" borderId="60" xfId="1" applyFont="1" applyFill="1" applyBorder="1" applyAlignment="1" applyProtection="1">
      <alignment horizontal="center" vertical="center" wrapText="1"/>
      <protection hidden="1"/>
    </xf>
    <xf numFmtId="0" fontId="7" fillId="5" borderId="50" xfId="1" applyFont="1" applyFill="1" applyBorder="1" applyAlignment="1" applyProtection="1">
      <alignment horizontal="center" vertical="center" wrapText="1"/>
      <protection hidden="1"/>
    </xf>
    <xf numFmtId="0" fontId="7" fillId="5" borderId="33" xfId="1" applyFont="1" applyFill="1" applyBorder="1" applyAlignment="1" applyProtection="1">
      <alignment horizontal="center" vertical="center" wrapText="1"/>
      <protection hidden="1"/>
    </xf>
    <xf numFmtId="0" fontId="7" fillId="5" borderId="56" xfId="1" applyFont="1" applyFill="1" applyBorder="1" applyAlignment="1" applyProtection="1">
      <alignment horizontal="center" vertical="center" wrapText="1"/>
      <protection hidden="1"/>
    </xf>
    <xf numFmtId="1" fontId="24" fillId="16" borderId="34" xfId="0" applyNumberFormat="1" applyFont="1" applyFill="1" applyBorder="1" applyAlignment="1" applyProtection="1">
      <alignment horizontal="center" vertical="center" wrapText="1"/>
      <protection hidden="1"/>
    </xf>
    <xf numFmtId="1" fontId="24" fillId="16" borderId="45" xfId="0" applyNumberFormat="1" applyFont="1" applyFill="1" applyBorder="1" applyAlignment="1" applyProtection="1">
      <alignment horizontal="center" vertical="center" wrapText="1"/>
      <protection hidden="1"/>
    </xf>
    <xf numFmtId="0" fontId="95" fillId="0" borderId="0" xfId="0" applyFont="1" applyFill="1" applyAlignment="1" applyProtection="1">
      <alignment horizontal="left" vertical="justify" wrapText="1"/>
    </xf>
    <xf numFmtId="1" fontId="68" fillId="0" borderId="0" xfId="0" applyNumberFormat="1" applyFont="1" applyAlignment="1" applyProtection="1">
      <alignment horizontal="center"/>
    </xf>
    <xf numFmtId="0" fontId="66" fillId="0" borderId="0" xfId="0" applyFont="1" applyAlignment="1" applyProtection="1">
      <alignment horizontal="center" vertical="center" wrapText="1"/>
    </xf>
    <xf numFmtId="0" fontId="66" fillId="0" borderId="51" xfId="0" applyFont="1" applyBorder="1" applyAlignment="1" applyProtection="1">
      <alignment horizontal="center" vertical="center" wrapText="1"/>
    </xf>
    <xf numFmtId="0" fontId="66" fillId="0" borderId="0" xfId="0" applyFont="1" applyAlignment="1" applyProtection="1">
      <alignment horizontal="left" vertical="justify" wrapText="1"/>
    </xf>
    <xf numFmtId="0" fontId="94" fillId="0" borderId="0" xfId="0" applyFont="1" applyAlignment="1" applyProtection="1">
      <alignment horizontal="left" vertical="center" wrapText="1"/>
    </xf>
    <xf numFmtId="0" fontId="68" fillId="0" borderId="0" xfId="0" applyFont="1" applyBorder="1" applyAlignment="1" applyProtection="1">
      <alignment horizontal="left" vertical="center" wrapText="1"/>
    </xf>
    <xf numFmtId="0" fontId="65" fillId="0" borderId="0" xfId="0" applyFont="1" applyAlignment="1" applyProtection="1">
      <alignment horizontal="left"/>
    </xf>
    <xf numFmtId="0" fontId="66" fillId="0" borderId="0" xfId="0" applyFont="1" applyAlignment="1" applyProtection="1">
      <alignment horizontal="left" vertical="center" wrapText="1"/>
    </xf>
    <xf numFmtId="0" fontId="65" fillId="0" borderId="0" xfId="0" applyFont="1" applyBorder="1" applyAlignment="1" applyProtection="1">
      <alignment horizontal="left" vertical="center" wrapText="1"/>
    </xf>
    <xf numFmtId="14" fontId="66" fillId="0" borderId="0" xfId="0" applyNumberFormat="1" applyFont="1" applyAlignment="1" applyProtection="1">
      <alignment horizontal="left" vertical="center" wrapText="1"/>
    </xf>
    <xf numFmtId="0" fontId="66" fillId="0" borderId="0" xfId="0" applyFont="1" applyBorder="1" applyAlignment="1" applyProtection="1">
      <alignment horizontal="left" vertical="center" wrapText="1"/>
    </xf>
    <xf numFmtId="2" fontId="66" fillId="0" borderId="0" xfId="0" applyNumberFormat="1" applyFont="1" applyBorder="1" applyAlignment="1" applyProtection="1">
      <alignment horizontal="left" vertical="center" wrapText="1"/>
    </xf>
    <xf numFmtId="0" fontId="68" fillId="0" borderId="0" xfId="0" applyFont="1" applyAlignment="1" applyProtection="1">
      <alignment horizontal="left" vertical="center"/>
    </xf>
    <xf numFmtId="0" fontId="95" fillId="0" borderId="0" xfId="0" applyFont="1" applyAlignment="1" applyProtection="1">
      <alignment horizontal="center" vertical="center"/>
    </xf>
    <xf numFmtId="0" fontId="41" fillId="0" borderId="0" xfId="0" applyFont="1" applyAlignment="1" applyProtection="1">
      <alignment horizontal="justify" vertical="justify" wrapText="1"/>
    </xf>
    <xf numFmtId="0" fontId="66" fillId="0" borderId="0" xfId="0" applyFont="1" applyAlignment="1" applyProtection="1">
      <alignment horizontal="left" vertical="justify"/>
    </xf>
    <xf numFmtId="170" fontId="65" fillId="0" borderId="0" xfId="0" applyNumberFormat="1" applyFont="1" applyBorder="1" applyAlignment="1" applyProtection="1">
      <alignment horizontal="left" vertical="center" wrapText="1"/>
    </xf>
    <xf numFmtId="0" fontId="65" fillId="0" borderId="0" xfId="0" applyFont="1" applyBorder="1" applyAlignment="1" applyProtection="1">
      <alignment horizontal="center" vertical="center" wrapText="1"/>
    </xf>
    <xf numFmtId="49" fontId="65" fillId="0" borderId="0" xfId="0" applyNumberFormat="1" applyFont="1" applyAlignment="1" applyProtection="1">
      <alignment horizontal="left" vertical="center" wrapText="1"/>
    </xf>
    <xf numFmtId="0" fontId="94" fillId="0" borderId="0" xfId="0" applyFont="1" applyBorder="1" applyAlignment="1" applyProtection="1">
      <alignment horizontal="left" vertical="center" wrapText="1"/>
    </xf>
    <xf numFmtId="14" fontId="65" fillId="0" borderId="0" xfId="0" applyNumberFormat="1" applyFont="1" applyBorder="1" applyAlignment="1" applyProtection="1">
      <alignment horizontal="left" vertical="center" wrapText="1"/>
    </xf>
    <xf numFmtId="0" fontId="66" fillId="0" borderId="0" xfId="0" applyFont="1" applyBorder="1" applyAlignment="1" applyProtection="1">
      <alignment horizontal="center" vertical="center" wrapText="1"/>
    </xf>
    <xf numFmtId="0" fontId="95" fillId="0" borderId="0" xfId="0" applyFont="1" applyAlignment="1" applyProtection="1">
      <alignment horizontal="justify" vertical="justify" wrapText="1"/>
    </xf>
    <xf numFmtId="0" fontId="66" fillId="0" borderId="0" xfId="0" applyFont="1" applyAlignment="1" applyProtection="1">
      <alignment horizontal="justify" vertical="justify" wrapText="1"/>
    </xf>
    <xf numFmtId="0" fontId="65" fillId="0" borderId="0" xfId="0" applyFont="1" applyAlignment="1" applyProtection="1">
      <alignment horizontal="center"/>
    </xf>
    <xf numFmtId="0" fontId="65" fillId="0" borderId="0" xfId="0" applyFont="1" applyAlignment="1" applyProtection="1">
      <alignment horizontal="left" vertical="center" wrapText="1"/>
    </xf>
    <xf numFmtId="0" fontId="66" fillId="0" borderId="0" xfId="0" applyFont="1" applyAlignment="1" applyProtection="1">
      <alignment vertical="center" wrapText="1"/>
    </xf>
    <xf numFmtId="14" fontId="100" fillId="0" borderId="0" xfId="0" applyNumberFormat="1" applyFont="1" applyBorder="1" applyAlignment="1" applyProtection="1">
      <alignment horizontal="left" vertical="center" wrapText="1"/>
    </xf>
    <xf numFmtId="0" fontId="100" fillId="0" borderId="0" xfId="0" applyFont="1" applyBorder="1" applyAlignment="1" applyProtection="1">
      <alignment horizontal="left" vertical="center" wrapText="1"/>
    </xf>
    <xf numFmtId="0" fontId="43" fillId="0" borderId="0" xfId="0" applyFont="1" applyAlignment="1" applyProtection="1">
      <alignment horizontal="justify" vertical="justify" wrapText="1"/>
    </xf>
    <xf numFmtId="0" fontId="65" fillId="0" borderId="0" xfId="0" applyFont="1" applyAlignment="1" applyProtection="1">
      <alignment horizontal="center" vertical="center" wrapText="1"/>
    </xf>
    <xf numFmtId="0" fontId="94" fillId="0" borderId="0" xfId="0" applyFont="1" applyAlignment="1" applyProtection="1">
      <alignment horizontal="left" vertical="center"/>
    </xf>
    <xf numFmtId="0" fontId="68" fillId="0" borderId="0" xfId="0" applyFont="1" applyAlignment="1" applyProtection="1">
      <alignment horizontal="center" vertical="center" wrapText="1"/>
    </xf>
    <xf numFmtId="0" fontId="95" fillId="0" borderId="0" xfId="0" applyFont="1" applyFill="1" applyAlignment="1" applyProtection="1">
      <alignment horizontal="justify" vertical="justify" wrapText="1"/>
    </xf>
    <xf numFmtId="0" fontId="68" fillId="0" borderId="6" xfId="0" applyFont="1" applyBorder="1" applyAlignment="1" applyProtection="1">
      <alignment horizontal="center" vertical="center" wrapText="1"/>
    </xf>
    <xf numFmtId="0" fontId="68" fillId="0" borderId="7" xfId="0" applyFont="1" applyBorder="1" applyAlignment="1" applyProtection="1">
      <alignment horizontal="center" vertical="center" wrapText="1"/>
    </xf>
    <xf numFmtId="0" fontId="68" fillId="0" borderId="8" xfId="0" applyFont="1" applyBorder="1" applyAlignment="1" applyProtection="1">
      <alignment horizontal="center" vertical="center" wrapText="1"/>
    </xf>
    <xf numFmtId="0" fontId="68" fillId="0" borderId="19" xfId="0" applyFont="1" applyBorder="1" applyAlignment="1" applyProtection="1">
      <alignment horizontal="center" vertical="center" wrapText="1"/>
    </xf>
    <xf numFmtId="0" fontId="68" fillId="0" borderId="29" xfId="0" applyFont="1" applyBorder="1" applyAlignment="1" applyProtection="1">
      <alignment horizontal="center" vertical="center" wrapText="1"/>
    </xf>
    <xf numFmtId="179" fontId="65" fillId="0" borderId="6" xfId="0" applyNumberFormat="1" applyFont="1" applyBorder="1" applyAlignment="1" applyProtection="1">
      <alignment horizontal="center" vertical="center" wrapText="1"/>
    </xf>
    <xf numFmtId="179" fontId="65" fillId="0" borderId="8" xfId="0" applyNumberFormat="1" applyFont="1" applyBorder="1" applyAlignment="1" applyProtection="1">
      <alignment horizontal="center" vertical="center" wrapText="1"/>
    </xf>
    <xf numFmtId="177" fontId="65" fillId="0" borderId="6" xfId="0" applyNumberFormat="1" applyFont="1" applyBorder="1" applyAlignment="1" applyProtection="1">
      <alignment horizontal="center" vertical="center" wrapText="1"/>
    </xf>
    <xf numFmtId="177" fontId="65" fillId="0" borderId="7" xfId="0" applyNumberFormat="1" applyFont="1" applyBorder="1" applyAlignment="1" applyProtection="1">
      <alignment horizontal="center" vertical="center" wrapText="1"/>
    </xf>
    <xf numFmtId="177" fontId="65" fillId="0" borderId="8" xfId="0" applyNumberFormat="1" applyFont="1" applyBorder="1" applyAlignment="1" applyProtection="1">
      <alignment horizontal="center" vertical="center" wrapText="1"/>
    </xf>
    <xf numFmtId="178" fontId="65" fillId="0" borderId="6" xfId="0" applyNumberFormat="1" applyFont="1" applyBorder="1" applyAlignment="1" applyProtection="1">
      <alignment horizontal="center" vertical="center" wrapText="1"/>
    </xf>
    <xf numFmtId="178" fontId="65" fillId="0" borderId="7" xfId="0" applyNumberFormat="1" applyFont="1" applyBorder="1" applyAlignment="1" applyProtection="1">
      <alignment horizontal="center" vertical="center" wrapText="1"/>
    </xf>
    <xf numFmtId="178" fontId="65" fillId="0" borderId="8" xfId="0" applyNumberFormat="1" applyFont="1" applyBorder="1" applyAlignment="1" applyProtection="1">
      <alignment horizontal="center" vertical="center" wrapText="1"/>
    </xf>
    <xf numFmtId="0" fontId="66" fillId="0" borderId="0" xfId="0" applyFont="1" applyAlignment="1" applyProtection="1">
      <alignment horizontal="left" wrapText="1"/>
    </xf>
    <xf numFmtId="0" fontId="66" fillId="0" borderId="96" xfId="0" applyFont="1" applyBorder="1" applyAlignment="1" applyProtection="1">
      <alignment horizontal="left" vertical="center" wrapText="1"/>
    </xf>
    <xf numFmtId="0" fontId="66" fillId="0" borderId="97" xfId="0" applyFont="1" applyBorder="1" applyAlignment="1" applyProtection="1">
      <alignment horizontal="left" vertical="center" wrapText="1"/>
    </xf>
    <xf numFmtId="0" fontId="66" fillId="0" borderId="98" xfId="0" applyFont="1" applyBorder="1" applyAlignment="1" applyProtection="1">
      <alignment horizontal="left" vertical="center" wrapText="1"/>
    </xf>
    <xf numFmtId="0" fontId="66" fillId="0" borderId="93" xfId="0" applyFont="1" applyBorder="1" applyAlignment="1" applyProtection="1">
      <alignment horizontal="center" vertical="center" wrapText="1"/>
    </xf>
    <xf numFmtId="0" fontId="66" fillId="0" borderId="94" xfId="0" applyFont="1" applyBorder="1" applyAlignment="1" applyProtection="1">
      <alignment horizontal="center" vertical="center" wrapText="1"/>
    </xf>
    <xf numFmtId="1" fontId="102" fillId="0" borderId="93" xfId="0" applyNumberFormat="1" applyFont="1" applyBorder="1" applyAlignment="1" applyProtection="1">
      <alignment horizontal="center" vertical="center" wrapText="1"/>
    </xf>
    <xf numFmtId="0" fontId="102" fillId="0" borderId="94" xfId="0" applyFont="1" applyBorder="1" applyAlignment="1" applyProtection="1">
      <alignment horizontal="center" vertical="center" wrapText="1"/>
    </xf>
    <xf numFmtId="1" fontId="103" fillId="0" borderId="93" xfId="0" applyNumberFormat="1" applyFont="1" applyBorder="1" applyAlignment="1" applyProtection="1">
      <alignment horizontal="center" vertical="center" wrapText="1"/>
    </xf>
    <xf numFmtId="0" fontId="103" fillId="0" borderId="94" xfId="0" applyFont="1" applyBorder="1" applyAlignment="1" applyProtection="1">
      <alignment horizontal="center" vertical="center" wrapText="1"/>
    </xf>
    <xf numFmtId="0" fontId="66" fillId="0" borderId="93" xfId="0" applyFont="1" applyBorder="1" applyAlignment="1" applyProtection="1">
      <alignment horizontal="left" vertical="center" wrapText="1"/>
    </xf>
    <xf numFmtId="0" fontId="66" fillId="0" borderId="95" xfId="0" applyFont="1" applyBorder="1" applyAlignment="1" applyProtection="1">
      <alignment horizontal="left" vertical="center" wrapText="1"/>
    </xf>
    <xf numFmtId="0" fontId="66" fillId="0" borderId="94" xfId="0" applyFont="1" applyBorder="1" applyAlignment="1" applyProtection="1">
      <alignment horizontal="left" vertical="center" wrapText="1"/>
    </xf>
    <xf numFmtId="0" fontId="66" fillId="0" borderId="99" xfId="0" applyFont="1" applyBorder="1" applyAlignment="1" applyProtection="1">
      <alignment horizontal="center" vertical="center" wrapText="1"/>
    </xf>
    <xf numFmtId="0" fontId="66" fillId="0" borderId="100" xfId="0" applyFont="1" applyBorder="1" applyAlignment="1" applyProtection="1">
      <alignment horizontal="center" vertical="center" wrapText="1"/>
    </xf>
    <xf numFmtId="1" fontId="66" fillId="0" borderId="99" xfId="0" applyNumberFormat="1" applyFont="1" applyBorder="1" applyAlignment="1" applyProtection="1">
      <alignment horizontal="center" vertical="center" wrapText="1"/>
    </xf>
    <xf numFmtId="0" fontId="66" fillId="0" borderId="90" xfId="0" applyFont="1" applyBorder="1" applyAlignment="1" applyProtection="1">
      <alignment horizontal="left" vertical="center" wrapText="1"/>
    </xf>
    <xf numFmtId="0" fontId="66" fillId="0" borderId="91" xfId="0" applyFont="1" applyBorder="1" applyAlignment="1" applyProtection="1">
      <alignment horizontal="left" vertical="center" wrapText="1"/>
    </xf>
    <xf numFmtId="0" fontId="66" fillId="0" borderId="92" xfId="0" applyFont="1" applyBorder="1" applyAlignment="1" applyProtection="1">
      <alignment horizontal="left" vertical="center" wrapText="1"/>
    </xf>
    <xf numFmtId="14" fontId="102" fillId="0" borderId="93" xfId="0" applyNumberFormat="1" applyFont="1" applyBorder="1" applyAlignment="1" applyProtection="1">
      <alignment horizontal="center" vertical="center" wrapText="1"/>
    </xf>
    <xf numFmtId="14" fontId="66" fillId="0" borderId="93" xfId="0" applyNumberFormat="1" applyFont="1" applyBorder="1" applyAlignment="1" applyProtection="1">
      <alignment horizontal="center" vertical="center" wrapText="1"/>
    </xf>
    <xf numFmtId="0" fontId="68" fillId="0" borderId="0" xfId="0" applyFont="1" applyAlignment="1" applyProtection="1">
      <alignment horizontal="left" vertical="center" wrapText="1"/>
    </xf>
    <xf numFmtId="0" fontId="68" fillId="0" borderId="0" xfId="0" applyFont="1" applyAlignment="1" applyProtection="1">
      <alignment horizontal="center"/>
    </xf>
    <xf numFmtId="2" fontId="66" fillId="0" borderId="86" xfId="0" applyNumberFormat="1" applyFont="1" applyFill="1" applyBorder="1" applyAlignment="1" applyProtection="1">
      <alignment horizontal="center" vertical="center" wrapText="1"/>
    </xf>
    <xf numFmtId="165" fontId="66" fillId="0" borderId="87" xfId="0" applyNumberFormat="1" applyFont="1" applyFill="1" applyBorder="1" applyAlignment="1" applyProtection="1">
      <alignment horizontal="center" vertical="center" wrapText="1"/>
    </xf>
    <xf numFmtId="165" fontId="66" fillId="0" borderId="84" xfId="0" applyNumberFormat="1" applyFont="1" applyFill="1" applyBorder="1" applyAlignment="1" applyProtection="1">
      <alignment horizontal="center" vertical="center" wrapText="1"/>
    </xf>
    <xf numFmtId="2" fontId="66" fillId="0" borderId="87" xfId="0" applyNumberFormat="1" applyFont="1" applyFill="1" applyBorder="1" applyAlignment="1" applyProtection="1">
      <alignment horizontal="center" vertical="center" wrapText="1"/>
    </xf>
    <xf numFmtId="2" fontId="66" fillId="0" borderId="84" xfId="0" applyNumberFormat="1" applyFont="1" applyFill="1" applyBorder="1" applyAlignment="1" applyProtection="1">
      <alignment horizontal="center" vertical="center" wrapText="1"/>
    </xf>
    <xf numFmtId="0" fontId="66" fillId="0" borderId="5" xfId="0" applyFont="1" applyBorder="1" applyAlignment="1" applyProtection="1">
      <alignment horizontal="left" vertical="center" wrapText="1"/>
    </xf>
    <xf numFmtId="170" fontId="65" fillId="0" borderId="0" xfId="0" applyNumberFormat="1" applyFont="1" applyAlignment="1" applyProtection="1">
      <alignment horizontal="center"/>
    </xf>
    <xf numFmtId="0" fontId="105" fillId="0" borderId="0" xfId="0" applyFont="1" applyAlignment="1" applyProtection="1">
      <alignment horizontal="left"/>
    </xf>
    <xf numFmtId="0" fontId="103" fillId="0" borderId="0" xfId="0" applyFont="1" applyAlignment="1" applyProtection="1"/>
    <xf numFmtId="0" fontId="65" fillId="0" borderId="0" xfId="0" applyFont="1" applyAlignment="1" applyProtection="1">
      <alignment horizontal="center" vertical="center"/>
    </xf>
    <xf numFmtId="0" fontId="103" fillId="0" borderId="0" xfId="0" applyFont="1" applyAlignment="1" applyProtection="1">
      <alignment horizontal="left" vertical="justify" wrapText="1"/>
    </xf>
    <xf numFmtId="0" fontId="72" fillId="0" borderId="0" xfId="0" applyFont="1" applyAlignment="1" applyProtection="1">
      <alignment horizontal="center" vertical="center" wrapText="1"/>
    </xf>
  </cellXfs>
  <cellStyles count="9">
    <cellStyle name="Buena" xfId="1" builtinId="26"/>
    <cellStyle name="Estilo 1" xfId="2"/>
    <cellStyle name="Estilo 2" xfId="3"/>
    <cellStyle name="Estilo 3" xfId="4"/>
    <cellStyle name="Estilo 4" xfId="5"/>
    <cellStyle name="Estilo 5" xfId="6"/>
    <cellStyle name="Estilo 6" xfId="7"/>
    <cellStyle name="Normal" xfId="0" builtinId="0"/>
    <cellStyle name="Porcentaje" xfId="8" builtinId="5"/>
  </cellStyles>
  <dxfs count="3">
    <dxf>
      <font>
        <b/>
        <i val="0"/>
        <color auto="1"/>
      </font>
      <fill>
        <patternFill>
          <bgColor rgb="FFFFC7CE"/>
        </patternFill>
      </fill>
    </dxf>
    <dxf>
      <font>
        <b/>
        <i val="0"/>
      </font>
    </dxf>
    <dxf>
      <fill>
        <patternFill>
          <bgColor rgb="FFFF0000"/>
        </patternFill>
      </fill>
    </dxf>
  </dxfs>
  <tableStyles count="0" defaultTableStyle="TableStyleMedium2" defaultPivotStyle="PivotStyleLight16"/>
  <colors>
    <mruColors>
      <color rgb="FFDDEBF7"/>
      <color rgb="FF9BC2E6"/>
      <color rgb="FFC8E2FB"/>
      <color rgb="FF073763"/>
      <color rgb="FF81B0E4"/>
      <color rgb="FF91C6F7"/>
      <color rgb="FF5FF3CB"/>
      <color rgb="FF538DD5"/>
      <color rgb="FF92D050"/>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DATOS!$F$51:$F$53</c:f>
              <c:numCache>
                <c:formatCode>General</c:formatCode>
                <c:ptCount val="3"/>
                <c:pt idx="0">
                  <c:v>15.3</c:v>
                </c:pt>
                <c:pt idx="1">
                  <c:v>24.9</c:v>
                </c:pt>
                <c:pt idx="2" formatCode="0.0">
                  <c:v>29.7</c:v>
                </c:pt>
              </c:numCache>
            </c:numRef>
          </c:xVal>
          <c:yVal>
            <c:numRef>
              <c:f>DATOS!$H$51:$H$53</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430811168"/>
        <c:axId val="-1430810080"/>
      </c:scatterChart>
      <c:valAx>
        <c:axId val="-14308111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30810080"/>
        <c:crosses val="autoZero"/>
        <c:crossBetween val="midCat"/>
      </c:valAx>
      <c:valAx>
        <c:axId val="-14308100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308111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DATOS!$A$84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DATOS!$F$84:$F$86</c:f>
              <c:numCache>
                <c:formatCode>General</c:formatCode>
                <c:ptCount val="3"/>
                <c:pt idx="0">
                  <c:v>15.3</c:v>
                </c:pt>
                <c:pt idx="1">
                  <c:v>24.9</c:v>
                </c:pt>
                <c:pt idx="2" formatCode="0.0">
                  <c:v>29.6</c:v>
                </c:pt>
              </c:numCache>
            </c:numRef>
          </c:xVal>
          <c:yVal>
            <c:numRef>
              <c:f>DATOS!$H$84:$H$86</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228328752"/>
        <c:axId val="-1228321680"/>
      </c:scatterChart>
      <c:valAx>
        <c:axId val="-1228328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1680"/>
        <c:crosses val="autoZero"/>
        <c:crossBetween val="midCat"/>
      </c:valAx>
      <c:valAx>
        <c:axId val="-12283216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8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DATOS!$A$87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DATOS!$F$87:$F$89</c:f>
              <c:numCache>
                <c:formatCode>General</c:formatCode>
                <c:ptCount val="3"/>
                <c:pt idx="0">
                  <c:v>33.4</c:v>
                </c:pt>
                <c:pt idx="1">
                  <c:v>51.3</c:v>
                </c:pt>
                <c:pt idx="2">
                  <c:v>77.400000000000006</c:v>
                </c:pt>
              </c:numCache>
            </c:numRef>
          </c:xVal>
          <c:yVal>
            <c:numRef>
              <c:f>DATOS!$H$87:$H$89</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228320592"/>
        <c:axId val="-1228317872"/>
      </c:scatterChart>
      <c:valAx>
        <c:axId val="-12283205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17872"/>
        <c:crosses val="autoZero"/>
        <c:crossBetween val="midCat"/>
      </c:valAx>
      <c:valAx>
        <c:axId val="-12283178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05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DATOS!$A$90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DATOS!$F$90:$F$92</c:f>
              <c:numCache>
                <c:formatCode>General</c:formatCode>
                <c:ptCount val="3"/>
                <c:pt idx="0">
                  <c:v>397.9</c:v>
                </c:pt>
                <c:pt idx="1">
                  <c:v>753.2</c:v>
                </c:pt>
                <c:pt idx="2">
                  <c:v>1099.3</c:v>
                </c:pt>
              </c:numCache>
            </c:numRef>
          </c:xVal>
          <c:yVal>
            <c:numRef>
              <c:f>DATOS!$H$90:$H$92</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228319504"/>
        <c:axId val="-1228326032"/>
      </c:scatterChart>
      <c:valAx>
        <c:axId val="-12283195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6032"/>
        <c:crosses val="autoZero"/>
        <c:crossBetween val="midCat"/>
      </c:valAx>
      <c:valAx>
        <c:axId val="-12283260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195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DATOS!$A$95</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DATOS!$F$95:$F$97</c:f>
              <c:numCache>
                <c:formatCode>0.0</c:formatCode>
                <c:ptCount val="3"/>
                <c:pt idx="0" formatCode="General">
                  <c:v>15.2</c:v>
                </c:pt>
                <c:pt idx="1">
                  <c:v>24.8</c:v>
                </c:pt>
                <c:pt idx="2">
                  <c:v>29.6</c:v>
                </c:pt>
              </c:numCache>
            </c:numRef>
          </c:xVal>
          <c:yVal>
            <c:numRef>
              <c:f>DATOS!$H$95:$H$97</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228317328"/>
        <c:axId val="-1228316784"/>
      </c:scatterChart>
      <c:valAx>
        <c:axId val="-12283173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16784"/>
        <c:crosses val="autoZero"/>
        <c:crossBetween val="midCat"/>
      </c:valAx>
      <c:valAx>
        <c:axId val="-1228316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173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DATOS!$A$98</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DATOS!$F$98:$F$100</c:f>
              <c:numCache>
                <c:formatCode>General</c:formatCode>
                <c:ptCount val="3"/>
                <c:pt idx="0">
                  <c:v>33.5</c:v>
                </c:pt>
                <c:pt idx="1">
                  <c:v>51.2</c:v>
                </c:pt>
                <c:pt idx="2">
                  <c:v>77.099999999999994</c:v>
                </c:pt>
              </c:numCache>
            </c:numRef>
          </c:xVal>
          <c:yVal>
            <c:numRef>
              <c:f>DATOS!$H$98:$H$100</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228316240"/>
        <c:axId val="-1228315696"/>
      </c:scatterChart>
      <c:valAx>
        <c:axId val="-12283162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15696"/>
        <c:crosses val="autoZero"/>
        <c:crossBetween val="midCat"/>
      </c:valAx>
      <c:valAx>
        <c:axId val="-12283156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162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DATOS!$A$101</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DATOS!$F$101:$F$103</c:f>
              <c:numCache>
                <c:formatCode>General</c:formatCode>
                <c:ptCount val="3"/>
                <c:pt idx="0" formatCode="0.0">
                  <c:v>397.9</c:v>
                </c:pt>
                <c:pt idx="1">
                  <c:v>753.2</c:v>
                </c:pt>
                <c:pt idx="2">
                  <c:v>1099.2</c:v>
                </c:pt>
              </c:numCache>
            </c:numRef>
          </c:xVal>
          <c:yVal>
            <c:numRef>
              <c:f>DATOS!$H$101:$H$103</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228315152"/>
        <c:axId val="-1228330384"/>
      </c:scatterChart>
      <c:valAx>
        <c:axId val="-12283151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30384"/>
        <c:crosses val="autoZero"/>
        <c:crossBetween val="midCat"/>
      </c:valAx>
      <c:valAx>
        <c:axId val="-12283303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151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(RVP) V-004</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'RT03-F11'!$A$8:$A$10</c:f>
              <c:strCache>
                <c:ptCount val="3"/>
                <c:pt idx="0">
                  <c:v>Termómetro (RVP)</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6.572716758780392E-2"/>
                  <c:y val="-0.333458652505600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'RT03-F11'!$C$8:$C$10</c:f>
              <c:numCache>
                <c:formatCode>0.000</c:formatCode>
                <c:ptCount val="3"/>
                <c:pt idx="0">
                  <c:v>#N/A</c:v>
                </c:pt>
                <c:pt idx="1">
                  <c:v>#N/A</c:v>
                </c:pt>
                <c:pt idx="2">
                  <c:v>#N/A</c:v>
                </c:pt>
              </c:numCache>
            </c:numRef>
          </c:xVal>
          <c:yVal>
            <c:numRef>
              <c:f>'RT03-F11'!$G$8:$G$10</c:f>
              <c:numCache>
                <c:formatCode>0.000</c:formatCode>
                <c:ptCount val="3"/>
                <c:pt idx="0">
                  <c:v>#N/A</c:v>
                </c:pt>
                <c:pt idx="1">
                  <c:v>#N/A</c:v>
                </c:pt>
                <c:pt idx="2">
                  <c:v>#N/A</c:v>
                </c:pt>
              </c:numCache>
            </c:numRef>
          </c:yVal>
          <c:smooth val="0"/>
          <c:extLst xmlns:c16r2="http://schemas.microsoft.com/office/drawing/2015/06/char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1181675552"/>
        <c:axId val="-1181678272"/>
      </c:scatterChart>
      <c:valAx>
        <c:axId val="-11816755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81678272"/>
        <c:crosses val="autoZero"/>
        <c:crossBetween val="midCat"/>
      </c:valAx>
      <c:valAx>
        <c:axId val="-11816782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816755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 V-003</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'RT03-F11'!$A$11:$A$13</c:f>
              <c:strCache>
                <c:ptCount val="3"/>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1296468691816452E-2"/>
                  <c:y val="-0.4004416689293148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'RT03-F11'!$C$11:$C$13</c:f>
              <c:numCache>
                <c:formatCode>0.000</c:formatCode>
                <c:ptCount val="3"/>
                <c:pt idx="0">
                  <c:v>#N/A</c:v>
                </c:pt>
                <c:pt idx="1">
                  <c:v>#N/A</c:v>
                </c:pt>
                <c:pt idx="2">
                  <c:v>#N/A</c:v>
                </c:pt>
              </c:numCache>
            </c:numRef>
          </c:xVal>
          <c:yVal>
            <c:numRef>
              <c:f>'RT03-F11'!$G$11:$G$13</c:f>
              <c:numCache>
                <c:formatCode>0.000</c:formatCode>
                <c:ptCount val="3"/>
                <c:pt idx="0">
                  <c:v>#N/A</c:v>
                </c:pt>
                <c:pt idx="1">
                  <c:v>#N/A</c:v>
                </c:pt>
                <c:pt idx="2">
                  <c:v>#N/A</c:v>
                </c:pt>
              </c:numCache>
            </c:numRef>
          </c:yVal>
          <c:smooth val="0"/>
          <c:extLst xmlns:c16r2="http://schemas.microsoft.com/office/drawing/2015/06/char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1181667936"/>
        <c:axId val="-1181667392"/>
      </c:scatterChart>
      <c:valAx>
        <c:axId val="-11816679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81667392"/>
        <c:crosses val="autoZero"/>
        <c:crossBetween val="midCat"/>
      </c:valAx>
      <c:valAx>
        <c:axId val="-11816673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816679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t>°C</a:t>
            </a:r>
          </a:p>
        </c:rich>
      </c:tx>
      <c:layout>
        <c:manualLayout>
          <c:xMode val="edge"/>
          <c:yMode val="edge"/>
          <c:x val="8.5615209352010696E-2"/>
          <c:y val="7.9432588626754397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DATOS!$F$51:$F$53</c:f>
              <c:numCache>
                <c:formatCode>General</c:formatCode>
                <c:ptCount val="3"/>
                <c:pt idx="0">
                  <c:v>15.3</c:v>
                </c:pt>
                <c:pt idx="1">
                  <c:v>24.9</c:v>
                </c:pt>
                <c:pt idx="2" formatCode="0.0">
                  <c:v>29.7</c:v>
                </c:pt>
              </c:numCache>
            </c:numRef>
          </c:xVal>
          <c:yVal>
            <c:numRef>
              <c:f>DATOS!$H$51:$H$53</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181673376"/>
        <c:axId val="-1181672832"/>
      </c:scatterChart>
      <c:valAx>
        <c:axId val="-11816733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81672832"/>
        <c:crosses val="autoZero"/>
        <c:crossBetween val="midCat"/>
      </c:valAx>
      <c:valAx>
        <c:axId val="-11816728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816733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DATOS!$F$54:$F$56</c:f>
              <c:numCache>
                <c:formatCode>0.0</c:formatCode>
                <c:ptCount val="3"/>
                <c:pt idx="0" formatCode="General">
                  <c:v>33.1</c:v>
                </c:pt>
                <c:pt idx="1">
                  <c:v>51</c:v>
                </c:pt>
                <c:pt idx="2" formatCode="General">
                  <c:v>77.2</c:v>
                </c:pt>
              </c:numCache>
            </c:numRef>
          </c:xVal>
          <c:yVal>
            <c:numRef>
              <c:f>DATOS!$H$54:$H$56</c:f>
              <c:numCache>
                <c:formatCode>0.0</c:formatCode>
                <c:ptCount val="3"/>
                <c:pt idx="0" formatCode="General">
                  <c:v>-3.1</c:v>
                </c:pt>
                <c:pt idx="1">
                  <c:v>-1</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181666848"/>
        <c:axId val="-1181681536"/>
      </c:scatterChart>
      <c:valAx>
        <c:axId val="-11816668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81681536"/>
        <c:crosses val="autoZero"/>
        <c:crossBetween val="midCat"/>
      </c:valAx>
      <c:valAx>
        <c:axId val="-11816815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816668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DATOS!$F$54:$F$56</c:f>
              <c:numCache>
                <c:formatCode>0.0</c:formatCode>
                <c:ptCount val="3"/>
                <c:pt idx="0" formatCode="General">
                  <c:v>33.1</c:v>
                </c:pt>
                <c:pt idx="1">
                  <c:v>51</c:v>
                </c:pt>
                <c:pt idx="2" formatCode="General">
                  <c:v>77.2</c:v>
                </c:pt>
              </c:numCache>
            </c:numRef>
          </c:xVal>
          <c:yVal>
            <c:numRef>
              <c:f>DATOS!$H$54:$H$56</c:f>
              <c:numCache>
                <c:formatCode>0.0</c:formatCode>
                <c:ptCount val="3"/>
                <c:pt idx="0" formatCode="General">
                  <c:v>-3.1</c:v>
                </c:pt>
                <c:pt idx="1">
                  <c:v>-1</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430809536"/>
        <c:axId val="-1430807360"/>
      </c:scatterChart>
      <c:valAx>
        <c:axId val="-14308095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30807360"/>
        <c:crosses val="autoZero"/>
        <c:crossBetween val="midCat"/>
      </c:valAx>
      <c:valAx>
        <c:axId val="-14308073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4308095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6.0512730190598024E-2"/>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DATOS!$F$57:$F$59</c:f>
              <c:numCache>
                <c:formatCode>General</c:formatCode>
                <c:ptCount val="3"/>
                <c:pt idx="0">
                  <c:v>397.9</c:v>
                </c:pt>
                <c:pt idx="1">
                  <c:v>753.1</c:v>
                </c:pt>
                <c:pt idx="2" formatCode="0.0">
                  <c:v>899</c:v>
                </c:pt>
              </c:numCache>
            </c:numRef>
          </c:xVal>
          <c:yVal>
            <c:numRef>
              <c:f>DATOS!$H$57:$H$59</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181672288"/>
        <c:axId val="-1181670112"/>
      </c:scatterChart>
      <c:valAx>
        <c:axId val="-11816722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81670112"/>
        <c:crosses val="autoZero"/>
        <c:crossBetween val="midCat"/>
      </c:valAx>
      <c:valAx>
        <c:axId val="-11816701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816722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(RVP) V-004</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'RT03-F11'!$A$8:$A$10</c:f>
              <c:strCache>
                <c:ptCount val="3"/>
                <c:pt idx="0">
                  <c:v>Termómetro (RVP)</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6.572716758780392E-2"/>
                  <c:y val="-0.333458652505600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'RT03-F11'!$C$8:$C$10</c:f>
              <c:numCache>
                <c:formatCode>0.000</c:formatCode>
                <c:ptCount val="3"/>
                <c:pt idx="0">
                  <c:v>#N/A</c:v>
                </c:pt>
                <c:pt idx="1">
                  <c:v>#N/A</c:v>
                </c:pt>
                <c:pt idx="2">
                  <c:v>#N/A</c:v>
                </c:pt>
              </c:numCache>
            </c:numRef>
          </c:xVal>
          <c:yVal>
            <c:numRef>
              <c:f>'RT03-F11'!$G$8:$G$10</c:f>
              <c:numCache>
                <c:formatCode>0.000</c:formatCode>
                <c:ptCount val="3"/>
                <c:pt idx="0">
                  <c:v>#N/A</c:v>
                </c:pt>
                <c:pt idx="1">
                  <c:v>#N/A</c:v>
                </c:pt>
                <c:pt idx="2">
                  <c:v>#N/A</c:v>
                </c:pt>
              </c:numCache>
            </c:numRef>
          </c:yVal>
          <c:smooth val="0"/>
          <c:extLst xmlns:c16r2="http://schemas.microsoft.com/office/drawing/2015/06/chart">
            <c:ext xmlns:c16="http://schemas.microsoft.com/office/drawing/2014/chart" uri="{C3380CC4-5D6E-409C-BE32-E72D297353CC}">
              <c16:uniqueId val="{00000002-08DF-4A43-937B-75A7D18866F8}"/>
            </c:ext>
          </c:extLst>
        </c:ser>
        <c:dLbls>
          <c:showLegendKey val="0"/>
          <c:showVal val="0"/>
          <c:showCatName val="0"/>
          <c:showSerName val="0"/>
          <c:showPercent val="0"/>
          <c:showBubbleSize val="0"/>
        </c:dLbls>
        <c:axId val="-1179405968"/>
        <c:axId val="-1179414128"/>
      </c:scatterChart>
      <c:valAx>
        <c:axId val="-1179405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79414128"/>
        <c:crosses val="autoZero"/>
        <c:crossBetween val="midCat"/>
      </c:valAx>
      <c:valAx>
        <c:axId val="-1179414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79405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Termómetro (RVC) V-003</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'RT03-F11'!$A$11:$A$13</c:f>
              <c:strCache>
                <c:ptCount val="3"/>
                <c:pt idx="0">
                  <c:v>Termómetro (RVC)</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3.1296468691816452E-2"/>
                  <c:y val="-0.4004416689293148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'RT03-F11'!$C$11:$C$13</c:f>
              <c:numCache>
                <c:formatCode>0.000</c:formatCode>
                <c:ptCount val="3"/>
                <c:pt idx="0">
                  <c:v>#N/A</c:v>
                </c:pt>
                <c:pt idx="1">
                  <c:v>#N/A</c:v>
                </c:pt>
                <c:pt idx="2">
                  <c:v>#N/A</c:v>
                </c:pt>
              </c:numCache>
            </c:numRef>
          </c:xVal>
          <c:yVal>
            <c:numRef>
              <c:f>'RT03-F11'!$G$11:$G$13</c:f>
              <c:numCache>
                <c:formatCode>0.000</c:formatCode>
                <c:ptCount val="3"/>
                <c:pt idx="0">
                  <c:v>#N/A</c:v>
                </c:pt>
                <c:pt idx="1">
                  <c:v>#N/A</c:v>
                </c:pt>
                <c:pt idx="2">
                  <c:v>#N/A</c:v>
                </c:pt>
              </c:numCache>
            </c:numRef>
          </c:yVal>
          <c:smooth val="0"/>
          <c:extLst xmlns:c16r2="http://schemas.microsoft.com/office/drawing/2015/06/chart">
            <c:ext xmlns:c16="http://schemas.microsoft.com/office/drawing/2014/chart" uri="{C3380CC4-5D6E-409C-BE32-E72D297353CC}">
              <c16:uniqueId val="{00000002-5956-4A75-9DCD-0852180ABA14}"/>
            </c:ext>
          </c:extLst>
        </c:ser>
        <c:dLbls>
          <c:showLegendKey val="0"/>
          <c:showVal val="0"/>
          <c:showCatName val="0"/>
          <c:showSerName val="0"/>
          <c:showPercent val="0"/>
          <c:showBubbleSize val="0"/>
        </c:dLbls>
        <c:axId val="-1179415760"/>
        <c:axId val="-1179410864"/>
      </c:scatterChart>
      <c:valAx>
        <c:axId val="-11794157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79410864"/>
        <c:crosses val="autoZero"/>
        <c:crossBetween val="midCat"/>
      </c:valAx>
      <c:valAx>
        <c:axId val="-11794108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794157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DATOS!$F$51:$F$53</c:f>
              <c:numCache>
                <c:formatCode>General</c:formatCode>
                <c:ptCount val="3"/>
                <c:pt idx="0">
                  <c:v>15.3</c:v>
                </c:pt>
                <c:pt idx="1">
                  <c:v>24.9</c:v>
                </c:pt>
                <c:pt idx="2" formatCode="0.0">
                  <c:v>29.7</c:v>
                </c:pt>
              </c:numCache>
            </c:numRef>
          </c:xVal>
          <c:yVal>
            <c:numRef>
              <c:f>DATOS!$H$51:$H$53</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179413584"/>
        <c:axId val="-1179413040"/>
      </c:scatterChart>
      <c:valAx>
        <c:axId val="-11794135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79413040"/>
        <c:crosses val="autoZero"/>
        <c:crossBetween val="midCat"/>
      </c:valAx>
      <c:valAx>
        <c:axId val="-1179413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794135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DATOS!$F$54:$F$56</c:f>
              <c:numCache>
                <c:formatCode>0.0</c:formatCode>
                <c:ptCount val="3"/>
                <c:pt idx="0" formatCode="General">
                  <c:v>33.1</c:v>
                </c:pt>
                <c:pt idx="1">
                  <c:v>51</c:v>
                </c:pt>
                <c:pt idx="2" formatCode="General">
                  <c:v>77.2</c:v>
                </c:pt>
              </c:numCache>
            </c:numRef>
          </c:xVal>
          <c:yVal>
            <c:numRef>
              <c:f>DATOS!$H$54:$H$56</c:f>
              <c:numCache>
                <c:formatCode>0.0</c:formatCode>
                <c:ptCount val="3"/>
                <c:pt idx="0" formatCode="General">
                  <c:v>-3.1</c:v>
                </c:pt>
                <c:pt idx="1">
                  <c:v>-1</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179407600"/>
        <c:axId val="-1179411952"/>
      </c:scatterChart>
      <c:valAx>
        <c:axId val="-11794076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79411952"/>
        <c:crosses val="autoZero"/>
        <c:crossBetween val="midCat"/>
      </c:valAx>
      <c:valAx>
        <c:axId val="-117941195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794076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6.0512730190598024E-2"/>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DATOS!$F$57:$F$59</c:f>
              <c:numCache>
                <c:formatCode>General</c:formatCode>
                <c:ptCount val="3"/>
                <c:pt idx="0">
                  <c:v>397.9</c:v>
                </c:pt>
                <c:pt idx="1">
                  <c:v>753.1</c:v>
                </c:pt>
                <c:pt idx="2" formatCode="0.0">
                  <c:v>899</c:v>
                </c:pt>
              </c:numCache>
            </c:numRef>
          </c:xVal>
          <c:yVal>
            <c:numRef>
              <c:f>DATOS!$H$57:$H$59</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179411408"/>
        <c:axId val="-1179409776"/>
      </c:scatterChart>
      <c:valAx>
        <c:axId val="-11794114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79409776"/>
        <c:crosses val="autoZero"/>
        <c:crossBetween val="midCat"/>
      </c:valAx>
      <c:valAx>
        <c:axId val="-11794097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1794114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DATOS!$A$57</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DATOS!$F$57:$F$59</c:f>
              <c:numCache>
                <c:formatCode>General</c:formatCode>
                <c:ptCount val="3"/>
                <c:pt idx="0">
                  <c:v>397.9</c:v>
                </c:pt>
                <c:pt idx="1">
                  <c:v>753.1</c:v>
                </c:pt>
                <c:pt idx="2" formatCode="0.0">
                  <c:v>899</c:v>
                </c:pt>
              </c:numCache>
            </c:numRef>
          </c:xVal>
          <c:yVal>
            <c:numRef>
              <c:f>DATOS!$H$57:$H$59</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228329840"/>
        <c:axId val="-1228323856"/>
      </c:scatterChart>
      <c:valAx>
        <c:axId val="-1228329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3856"/>
        <c:crosses val="autoZero"/>
        <c:crossBetween val="midCat"/>
      </c:valAx>
      <c:valAx>
        <c:axId val="-12283238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9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DATOS!$A$62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DATOS!$F$62:$F$64</c:f>
              <c:numCache>
                <c:formatCode>General</c:formatCode>
                <c:ptCount val="3"/>
                <c:pt idx="0" formatCode="0.0">
                  <c:v>15.4</c:v>
                </c:pt>
                <c:pt idx="1">
                  <c:v>24.8</c:v>
                </c:pt>
                <c:pt idx="2">
                  <c:v>34.4</c:v>
                </c:pt>
              </c:numCache>
            </c:numRef>
          </c:xVal>
          <c:yVal>
            <c:numRef>
              <c:f>DATOS!$H$62:$H$64</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228324400"/>
        <c:axId val="-1228325488"/>
      </c:scatterChart>
      <c:valAx>
        <c:axId val="-12283244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5488"/>
        <c:crosses val="autoZero"/>
        <c:crossBetween val="midCat"/>
      </c:valAx>
      <c:valAx>
        <c:axId val="-12283254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44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DATOS!$A$65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DATOS!$F$65:$F$67</c:f>
              <c:numCache>
                <c:formatCode>General</c:formatCode>
                <c:ptCount val="3"/>
                <c:pt idx="0">
                  <c:v>32.5</c:v>
                </c:pt>
                <c:pt idx="1">
                  <c:v>50.6</c:v>
                </c:pt>
                <c:pt idx="2">
                  <c:v>77.099999999999994</c:v>
                </c:pt>
              </c:numCache>
            </c:numRef>
          </c:xVal>
          <c:yVal>
            <c:numRef>
              <c:f>DATOS!$H$65:$H$67</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228320048"/>
        <c:axId val="-1228318960"/>
      </c:scatterChart>
      <c:valAx>
        <c:axId val="-12283200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18960"/>
        <c:crosses val="autoZero"/>
        <c:crossBetween val="midCat"/>
      </c:valAx>
      <c:valAx>
        <c:axId val="-12283189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00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DATOS!$A$68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DATOS!$F$68:$F$70</c:f>
              <c:numCache>
                <c:formatCode>General</c:formatCode>
                <c:ptCount val="3"/>
                <c:pt idx="0" formatCode="0.0">
                  <c:v>499</c:v>
                </c:pt>
                <c:pt idx="1">
                  <c:v>799.8</c:v>
                </c:pt>
                <c:pt idx="2">
                  <c:v>1099.8</c:v>
                </c:pt>
              </c:numCache>
            </c:numRef>
          </c:xVal>
          <c:yVal>
            <c:numRef>
              <c:f>DATOS!$H$68:$H$70</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228324944"/>
        <c:axId val="-1228323312"/>
      </c:scatterChart>
      <c:valAx>
        <c:axId val="-12283249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3312"/>
        <c:crosses val="autoZero"/>
        <c:crossBetween val="midCat"/>
      </c:valAx>
      <c:valAx>
        <c:axId val="-12283233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49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DATOS!$A$73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DATOS!$F$73:$F$75</c:f>
              <c:numCache>
                <c:formatCode>General</c:formatCode>
                <c:ptCount val="3"/>
                <c:pt idx="0" formatCode="0.0">
                  <c:v>15.3</c:v>
                </c:pt>
                <c:pt idx="1">
                  <c:v>24.8</c:v>
                </c:pt>
                <c:pt idx="2">
                  <c:v>34.4</c:v>
                </c:pt>
              </c:numCache>
            </c:numRef>
          </c:xVal>
          <c:yVal>
            <c:numRef>
              <c:f>DATOS!$H$73:$H$75</c:f>
              <c:numCache>
                <c:formatCode>0.0</c:formatCode>
                <c:ptCount val="3"/>
                <c:pt idx="0">
                  <c:v>0</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228322768"/>
        <c:axId val="-1228318416"/>
      </c:scatterChart>
      <c:valAx>
        <c:axId val="-12283227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18416"/>
        <c:crosses val="autoZero"/>
        <c:crossBetween val="midCat"/>
      </c:valAx>
      <c:valAx>
        <c:axId val="-12283184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27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DATOS!$A$76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DATOS!$F$76:$F$78</c:f>
              <c:numCache>
                <c:formatCode>General</c:formatCode>
                <c:ptCount val="3"/>
                <c:pt idx="0">
                  <c:v>32.5</c:v>
                </c:pt>
                <c:pt idx="1">
                  <c:v>50.8</c:v>
                </c:pt>
                <c:pt idx="2">
                  <c:v>78.2</c:v>
                </c:pt>
              </c:numCache>
            </c:numRef>
          </c:xVal>
          <c:yVal>
            <c:numRef>
              <c:f>DATOS!$H$76:$H$78</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228328208"/>
        <c:axId val="-1228322224"/>
      </c:scatterChart>
      <c:valAx>
        <c:axId val="-12283282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2224"/>
        <c:crosses val="autoZero"/>
        <c:crossBetween val="midCat"/>
      </c:valAx>
      <c:valAx>
        <c:axId val="-12283222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82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DATOS!$A$79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DATOS!$F$79:$F$81</c:f>
              <c:numCache>
                <c:formatCode>General</c:formatCode>
                <c:ptCount val="3"/>
                <c:pt idx="0" formatCode="0.0">
                  <c:v>499</c:v>
                </c:pt>
                <c:pt idx="1">
                  <c:v>799.8</c:v>
                </c:pt>
                <c:pt idx="2">
                  <c:v>1099.9000000000001</c:v>
                </c:pt>
              </c:numCache>
            </c:numRef>
          </c:xVal>
          <c:yVal>
            <c:numRef>
              <c:f>DATOS!$H$79:$H$81</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228321136"/>
        <c:axId val="-1228329296"/>
      </c:scatterChart>
      <c:valAx>
        <c:axId val="-1228321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9296"/>
        <c:crosses val="autoZero"/>
        <c:crossBetween val="midCat"/>
      </c:valAx>
      <c:valAx>
        <c:axId val="-12283292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228321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chart" Target="../charts/chart11.xml"/><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17" Type="http://schemas.openxmlformats.org/officeDocument/2006/relationships/chart" Target="../charts/chart15.xml"/><Relationship Id="rId2" Type="http://schemas.openxmlformats.org/officeDocument/2006/relationships/image" Target="file:///\\Abeltran\publico\Logo%20completo.gif" TargetMode="External"/><Relationship Id="rId16"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5" Type="http://schemas.openxmlformats.org/officeDocument/2006/relationships/chart" Target="../charts/chart1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96250</xdr:colOff>
      <xdr:row>0</xdr:row>
      <xdr:rowOff>86593</xdr:rowOff>
    </xdr:from>
    <xdr:to>
      <xdr:col>3</xdr:col>
      <xdr:colOff>967477</xdr:colOff>
      <xdr:row>0</xdr:row>
      <xdr:rowOff>921940</xdr:rowOff>
    </xdr:to>
    <xdr:pic>
      <xdr:nvPicPr>
        <xdr:cNvPr id="2" name="Picture 50" descr="\\Abeltran\publico\Logo completo.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2191750" y="86593"/>
          <a:ext cx="1918977" cy="83534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96250</xdr:colOff>
      <xdr:row>0</xdr:row>
      <xdr:rowOff>86593</xdr:rowOff>
    </xdr:from>
    <xdr:to>
      <xdr:col>3</xdr:col>
      <xdr:colOff>967477</xdr:colOff>
      <xdr:row>0</xdr:row>
      <xdr:rowOff>921940</xdr:rowOff>
    </xdr:to>
    <xdr:pic>
      <xdr:nvPicPr>
        <xdr:cNvPr id="2" name="Picture 50" descr="\\Abeltran\publico\Logo completo.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2200033" y="86593"/>
          <a:ext cx="1923118" cy="835347"/>
        </a:xfrm>
        <a:prstGeom prst="rect">
          <a:avLst/>
        </a:prstGeom>
        <a:noFill/>
        <a:ln w="9525">
          <a:noFill/>
          <a:miter lim="800000"/>
          <a:headEnd/>
          <a:tailEnd/>
        </a:ln>
      </xdr:spPr>
    </xdr:pic>
    <xdr:clientData/>
  </xdr:twoCellAnchor>
  <xdr:twoCellAnchor>
    <xdr:from>
      <xdr:col>12</xdr:col>
      <xdr:colOff>231321</xdr:colOff>
      <xdr:row>48</xdr:row>
      <xdr:rowOff>353786</xdr:rowOff>
    </xdr:from>
    <xdr:to>
      <xdr:col>13</xdr:col>
      <xdr:colOff>1265462</xdr:colOff>
      <xdr:row>52</xdr:row>
      <xdr:rowOff>108858</xdr:rowOff>
    </xdr:to>
    <xdr:graphicFrame macro="">
      <xdr:nvGraphicFramePr>
        <xdr:cNvPr id="4" name="Gráfico 3">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231321</xdr:colOff>
      <xdr:row>52</xdr:row>
      <xdr:rowOff>163286</xdr:rowOff>
    </xdr:from>
    <xdr:to>
      <xdr:col>13</xdr:col>
      <xdr:colOff>1265462</xdr:colOff>
      <xdr:row>55</xdr:row>
      <xdr:rowOff>299358</xdr:rowOff>
    </xdr:to>
    <xdr:graphicFrame macro="">
      <xdr:nvGraphicFramePr>
        <xdr:cNvPr id="6" name="Gráfico 5">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217714</xdr:colOff>
      <xdr:row>56</xdr:row>
      <xdr:rowOff>0</xdr:rowOff>
    </xdr:from>
    <xdr:to>
      <xdr:col>13</xdr:col>
      <xdr:colOff>1251855</xdr:colOff>
      <xdr:row>59</xdr:row>
      <xdr:rowOff>136072</xdr:rowOff>
    </xdr:to>
    <xdr:graphicFrame macro="">
      <xdr:nvGraphicFramePr>
        <xdr:cNvPr id="7" name="Gráfico 6">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217713</xdr:colOff>
      <xdr:row>60</xdr:row>
      <xdr:rowOff>40822</xdr:rowOff>
    </xdr:from>
    <xdr:to>
      <xdr:col>13</xdr:col>
      <xdr:colOff>1251854</xdr:colOff>
      <xdr:row>63</xdr:row>
      <xdr:rowOff>176894</xdr:rowOff>
    </xdr:to>
    <xdr:graphicFrame macro="">
      <xdr:nvGraphicFramePr>
        <xdr:cNvPr id="9" name="Gráfico 8">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231322</xdr:colOff>
      <xdr:row>63</xdr:row>
      <xdr:rowOff>244929</xdr:rowOff>
    </xdr:from>
    <xdr:to>
      <xdr:col>13</xdr:col>
      <xdr:colOff>1265463</xdr:colOff>
      <xdr:row>67</xdr:row>
      <xdr:rowOff>1</xdr:rowOff>
    </xdr:to>
    <xdr:graphicFrame macro="">
      <xdr:nvGraphicFramePr>
        <xdr:cNvPr id="10" name="Gráfico 9">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217714</xdr:colOff>
      <xdr:row>67</xdr:row>
      <xdr:rowOff>54428</xdr:rowOff>
    </xdr:from>
    <xdr:to>
      <xdr:col>13</xdr:col>
      <xdr:colOff>1251855</xdr:colOff>
      <xdr:row>70</xdr:row>
      <xdr:rowOff>190500</xdr:rowOff>
    </xdr:to>
    <xdr:graphicFrame macro="">
      <xdr:nvGraphicFramePr>
        <xdr:cNvPr id="11" name="Gráfico 10">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217714</xdr:colOff>
      <xdr:row>71</xdr:row>
      <xdr:rowOff>108857</xdr:rowOff>
    </xdr:from>
    <xdr:to>
      <xdr:col>13</xdr:col>
      <xdr:colOff>1251855</xdr:colOff>
      <xdr:row>74</xdr:row>
      <xdr:rowOff>244929</xdr:rowOff>
    </xdr:to>
    <xdr:graphicFrame macro="">
      <xdr:nvGraphicFramePr>
        <xdr:cNvPr id="13" name="Gráfico 12">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244929</xdr:colOff>
      <xdr:row>74</xdr:row>
      <xdr:rowOff>272143</xdr:rowOff>
    </xdr:from>
    <xdr:to>
      <xdr:col>13</xdr:col>
      <xdr:colOff>1279070</xdr:colOff>
      <xdr:row>78</xdr:row>
      <xdr:rowOff>27215</xdr:rowOff>
    </xdr:to>
    <xdr:graphicFrame macro="">
      <xdr:nvGraphicFramePr>
        <xdr:cNvPr id="15" name="Gráfico 14">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244929</xdr:colOff>
      <xdr:row>78</xdr:row>
      <xdr:rowOff>68036</xdr:rowOff>
    </xdr:from>
    <xdr:to>
      <xdr:col>13</xdr:col>
      <xdr:colOff>1279070</xdr:colOff>
      <xdr:row>81</xdr:row>
      <xdr:rowOff>204108</xdr:rowOff>
    </xdr:to>
    <xdr:graphicFrame macro="">
      <xdr:nvGraphicFramePr>
        <xdr:cNvPr id="16" name="Gráfico 15">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204107</xdr:colOff>
      <xdr:row>82</xdr:row>
      <xdr:rowOff>122464</xdr:rowOff>
    </xdr:from>
    <xdr:to>
      <xdr:col>13</xdr:col>
      <xdr:colOff>1238248</xdr:colOff>
      <xdr:row>85</xdr:row>
      <xdr:rowOff>258536</xdr:rowOff>
    </xdr:to>
    <xdr:graphicFrame macro="">
      <xdr:nvGraphicFramePr>
        <xdr:cNvPr id="17" name="Gráfico 16">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204108</xdr:colOff>
      <xdr:row>85</xdr:row>
      <xdr:rowOff>312964</xdr:rowOff>
    </xdr:from>
    <xdr:to>
      <xdr:col>13</xdr:col>
      <xdr:colOff>1238249</xdr:colOff>
      <xdr:row>89</xdr:row>
      <xdr:rowOff>68036</xdr:rowOff>
    </xdr:to>
    <xdr:graphicFrame macro="">
      <xdr:nvGraphicFramePr>
        <xdr:cNvPr id="18" name="Gráfico 17">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190500</xdr:colOff>
      <xdr:row>89</xdr:row>
      <xdr:rowOff>108857</xdr:rowOff>
    </xdr:from>
    <xdr:to>
      <xdr:col>13</xdr:col>
      <xdr:colOff>1224641</xdr:colOff>
      <xdr:row>92</xdr:row>
      <xdr:rowOff>244929</xdr:rowOff>
    </xdr:to>
    <xdr:graphicFrame macro="">
      <xdr:nvGraphicFramePr>
        <xdr:cNvPr id="19" name="Gráfico 18">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163286</xdr:colOff>
      <xdr:row>93</xdr:row>
      <xdr:rowOff>367393</xdr:rowOff>
    </xdr:from>
    <xdr:to>
      <xdr:col>13</xdr:col>
      <xdr:colOff>1197427</xdr:colOff>
      <xdr:row>97</xdr:row>
      <xdr:rowOff>122465</xdr:rowOff>
    </xdr:to>
    <xdr:graphicFrame macro="">
      <xdr:nvGraphicFramePr>
        <xdr:cNvPr id="20" name="Gráfico 19">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149679</xdr:colOff>
      <xdr:row>97</xdr:row>
      <xdr:rowOff>163286</xdr:rowOff>
    </xdr:from>
    <xdr:to>
      <xdr:col>13</xdr:col>
      <xdr:colOff>1183820</xdr:colOff>
      <xdr:row>100</xdr:row>
      <xdr:rowOff>299358</xdr:rowOff>
    </xdr:to>
    <xdr:graphicFrame macro="">
      <xdr:nvGraphicFramePr>
        <xdr:cNvPr id="22" name="Gráfico 21">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136072</xdr:colOff>
      <xdr:row>100</xdr:row>
      <xdr:rowOff>340179</xdr:rowOff>
    </xdr:from>
    <xdr:to>
      <xdr:col>13</xdr:col>
      <xdr:colOff>1170213</xdr:colOff>
      <xdr:row>104</xdr:row>
      <xdr:rowOff>95251</xdr:rowOff>
    </xdr:to>
    <xdr:graphicFrame macro="">
      <xdr:nvGraphicFramePr>
        <xdr:cNvPr id="23" name="Gráfico 22">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631605</xdr:colOff>
      <xdr:row>0</xdr:row>
      <xdr:rowOff>23677</xdr:rowOff>
    </xdr:from>
    <xdr:to>
      <xdr:col>2</xdr:col>
      <xdr:colOff>489858</xdr:colOff>
      <xdr:row>0</xdr:row>
      <xdr:rowOff>979714</xdr:rowOff>
    </xdr:to>
    <xdr:pic>
      <xdr:nvPicPr>
        <xdr:cNvPr id="2" name="Picture 50" descr="\\Abeltran\publico\Logo completo.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31605" y="23677"/>
          <a:ext cx="2225896" cy="956037"/>
        </a:xfrm>
        <a:prstGeom prst="rect">
          <a:avLst/>
        </a:prstGeom>
        <a:noFill/>
        <a:ln w="9525">
          <a:noFill/>
          <a:miter lim="800000"/>
          <a:headEnd/>
          <a:tailEnd/>
        </a:ln>
      </xdr:spPr>
    </xdr:pic>
    <xdr:clientData/>
  </xdr:twoCellAnchor>
  <xdr:oneCellAnchor>
    <xdr:from>
      <xdr:col>4</xdr:col>
      <xdr:colOff>460171</xdr:colOff>
      <xdr:row>57</xdr:row>
      <xdr:rowOff>59821</xdr:rowOff>
    </xdr:from>
    <xdr:ext cx="485775" cy="27176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100-000003000000}"/>
                </a:ext>
              </a:extLst>
            </xdr:cNvPr>
            <xdr:cNvSpPr txBox="1"/>
          </xdr:nvSpPr>
          <xdr:spPr>
            <a:xfrm>
              <a:off x="5838995" y="23289615"/>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3" name="CuadroTexto 2"/>
            <xdr:cNvSpPr txBox="1"/>
          </xdr:nvSpPr>
          <xdr:spPr>
            <a:xfrm>
              <a:off x="5838995" y="23289615"/>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10</xdr:col>
      <xdr:colOff>357716</xdr:colOff>
      <xdr:row>49</xdr:row>
      <xdr:rowOff>66675</xdr:rowOff>
    </xdr:from>
    <xdr:ext cx="277284" cy="176741"/>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100-000004000000}"/>
                </a:ext>
              </a:extLst>
            </xdr:cNvPr>
            <xdr:cNvSpPr txBox="1"/>
          </xdr:nvSpPr>
          <xdr:spPr>
            <a:xfrm>
              <a:off x="7358591" y="191452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7358591" y="191452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224472</xdr:colOff>
      <xdr:row>62</xdr:row>
      <xdr:rowOff>37084</xdr:rowOff>
    </xdr:from>
    <xdr:ext cx="1810415" cy="401066"/>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100-000005000000}"/>
                </a:ext>
              </a:extLst>
            </xdr:cNvPr>
            <xdr:cNvSpPr txBox="1"/>
          </xdr:nvSpPr>
          <xdr:spPr>
            <a:xfrm>
              <a:off x="6310947" y="237448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6310947" y="237448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63</xdr:row>
      <xdr:rowOff>371475</xdr:rowOff>
    </xdr:from>
    <xdr:ext cx="1702892" cy="461594"/>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100-000006000000}"/>
                </a:ext>
              </a:extLst>
            </xdr:cNvPr>
            <xdr:cNvSpPr txBox="1"/>
          </xdr:nvSpPr>
          <xdr:spPr>
            <a:xfrm>
              <a:off x="6392492" y="241363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 name="CuadroTexto 5"/>
            <xdr:cNvSpPr txBox="1"/>
          </xdr:nvSpPr>
          <xdr:spPr>
            <a:xfrm>
              <a:off x="6392492" y="241363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66</xdr:row>
      <xdr:rowOff>12152</xdr:rowOff>
    </xdr:from>
    <xdr:ext cx="1894821" cy="444221"/>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100-000007000000}"/>
                </a:ext>
              </a:extLst>
            </xdr:cNvPr>
            <xdr:cNvSpPr txBox="1"/>
          </xdr:nvSpPr>
          <xdr:spPr>
            <a:xfrm>
              <a:off x="6356428" y="245961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6356428" y="245961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68</xdr:row>
      <xdr:rowOff>28575</xdr:rowOff>
    </xdr:from>
    <xdr:ext cx="1800356" cy="42079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100-000008000000}"/>
                </a:ext>
              </a:extLst>
            </xdr:cNvPr>
            <xdr:cNvSpPr txBox="1"/>
          </xdr:nvSpPr>
          <xdr:spPr>
            <a:xfrm>
              <a:off x="6314944" y="250507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 name="CuadroTexto 7"/>
            <xdr:cNvSpPr txBox="1"/>
          </xdr:nvSpPr>
          <xdr:spPr>
            <a:xfrm>
              <a:off x="6314944" y="250507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70</xdr:row>
      <xdr:rowOff>38034</xdr:rowOff>
    </xdr:from>
    <xdr:ext cx="2019300" cy="41187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100-000009000000}"/>
                </a:ext>
              </a:extLst>
            </xdr:cNvPr>
            <xdr:cNvSpPr txBox="1"/>
          </xdr:nvSpPr>
          <xdr:spPr>
            <a:xfrm>
              <a:off x="6267450" y="254983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 name="CuadroTexto 8"/>
            <xdr:cNvSpPr txBox="1"/>
          </xdr:nvSpPr>
          <xdr:spPr>
            <a:xfrm>
              <a:off x="6267450" y="254983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343786</xdr:colOff>
      <xdr:row>72</xdr:row>
      <xdr:rowOff>38100</xdr:rowOff>
    </xdr:from>
    <xdr:ext cx="951614" cy="386655"/>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100-00000A000000}"/>
                </a:ext>
              </a:extLst>
            </xdr:cNvPr>
            <xdr:cNvSpPr txBox="1"/>
          </xdr:nvSpPr>
          <xdr:spPr>
            <a:xfrm>
              <a:off x="6630286" y="27115077"/>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𝑽𝒎𝒆𝒏</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0" name="CuadroTexto 9"/>
            <xdr:cNvSpPr txBox="1"/>
          </xdr:nvSpPr>
          <xdr:spPr>
            <a:xfrm>
              <a:off x="6630286" y="27115077"/>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𝝏𝑽𝒕/𝝏𝜹𝑽𝒎𝒆𝒏</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218001</xdr:colOff>
      <xdr:row>74</xdr:row>
      <xdr:rowOff>112059</xdr:rowOff>
    </xdr:from>
    <xdr:ext cx="1115500" cy="395793"/>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100-00000B000000}"/>
                </a:ext>
              </a:extLst>
            </xdr:cNvPr>
            <xdr:cNvSpPr txBox="1"/>
          </xdr:nvSpPr>
          <xdr:spPr>
            <a:xfrm>
              <a:off x="6304476" y="263915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𝑽𝒓𝒆𝒑</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1" name="CuadroTexto 10"/>
            <xdr:cNvSpPr txBox="1"/>
          </xdr:nvSpPr>
          <xdr:spPr>
            <a:xfrm>
              <a:off x="6304476" y="263915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𝝏𝑽𝒕/𝝏𝜹𝑽𝒓𝒆𝒑</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165666</xdr:colOff>
      <xdr:row>77</xdr:row>
      <xdr:rowOff>0</xdr:rowOff>
    </xdr:from>
    <xdr:ext cx="1111805" cy="392205"/>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100-00000C000000}"/>
                </a:ext>
              </a:extLst>
            </xdr:cNvPr>
            <xdr:cNvSpPr txBox="1"/>
          </xdr:nvSpPr>
          <xdr:spPr>
            <a:xfrm>
              <a:off x="6252141" y="27252704"/>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𝑽𝒂𝒅𝒅</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xdr:cNvSpPr txBox="1"/>
          </xdr:nvSpPr>
          <xdr:spPr>
            <a:xfrm>
              <a:off x="6252141" y="27252704"/>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𝝏𝑽𝒕/𝝏𝜹𝑽𝒂𝒅𝒅</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385920</xdr:colOff>
      <xdr:row>71</xdr:row>
      <xdr:rowOff>1989</xdr:rowOff>
    </xdr:from>
    <xdr:ext cx="240010" cy="333375"/>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100-00000D000000}"/>
                </a:ext>
              </a:extLst>
            </xdr:cNvPr>
            <xdr:cNvSpPr txBox="1"/>
          </xdr:nvSpPr>
          <xdr:spPr>
            <a:xfrm>
              <a:off x="13492320" y="255194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3" name="CuadroTexto 12"/>
            <xdr:cNvSpPr txBox="1"/>
          </xdr:nvSpPr>
          <xdr:spPr>
            <a:xfrm>
              <a:off x="13492320" y="255194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𝑹𝑺</a:t>
              </a:r>
              <a:endParaRPr lang="es-CO" sz="1400" b="1"/>
            </a:p>
          </xdr:txBody>
        </xdr:sp>
      </mc:Fallback>
    </mc:AlternateContent>
    <xdr:clientData/>
  </xdr:oneCellAnchor>
  <xdr:oneCellAnchor>
    <xdr:from>
      <xdr:col>13</xdr:col>
      <xdr:colOff>353366</xdr:colOff>
      <xdr:row>69</xdr:row>
      <xdr:rowOff>1</xdr:rowOff>
    </xdr:from>
    <xdr:ext cx="326991" cy="35232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100-00000E000000}"/>
                </a:ext>
              </a:extLst>
            </xdr:cNvPr>
            <xdr:cNvSpPr txBox="1"/>
          </xdr:nvSpPr>
          <xdr:spPr>
            <a:xfrm>
              <a:off x="13459766" y="250793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rPr>
                          <m:t>𝒕</m:t>
                        </m:r>
                      </m:e>
                      <m:sub>
                        <m:r>
                          <a:rPr lang="es-CO" sz="1400" b="1" i="1" baseline="-25000">
                            <a:latin typeface="Cambria Math" panose="02040503050406030204" pitchFamily="18" charset="0"/>
                          </a:rPr>
                          <m:t>𝟎</m:t>
                        </m:r>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4" name="CuadroTexto 13"/>
            <xdr:cNvSpPr txBox="1"/>
          </xdr:nvSpPr>
          <xdr:spPr>
            <a:xfrm>
              <a:off x="13459766" y="250793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rPr>
                <a:t>𝒕_</a:t>
              </a:r>
              <a:r>
                <a:rPr lang="es-CO" sz="1400" b="1" i="0" baseline="-25000">
                  <a:latin typeface="Cambria Math" panose="02040503050406030204" pitchFamily="18" charset="0"/>
                </a:rPr>
                <a:t>𝟎𝑹𝑺</a:t>
              </a:r>
              <a:endParaRPr lang="es-CO" sz="1400" b="1"/>
            </a:p>
          </xdr:txBody>
        </xdr:sp>
      </mc:Fallback>
    </mc:AlternateContent>
    <xdr:clientData/>
  </xdr:oneCellAnchor>
  <xdr:oneCellAnchor>
    <xdr:from>
      <xdr:col>13</xdr:col>
      <xdr:colOff>328244</xdr:colOff>
      <xdr:row>64</xdr:row>
      <xdr:rowOff>120894</xdr:rowOff>
    </xdr:from>
    <xdr:ext cx="229648" cy="355356"/>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100-00000F000000}"/>
                </a:ext>
              </a:extLst>
            </xdr:cNvPr>
            <xdr:cNvSpPr txBox="1"/>
          </xdr:nvSpPr>
          <xdr:spPr>
            <a:xfrm flipH="1">
              <a:off x="13434644" y="242000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𝒕</m:t>
                        </m:r>
                      </m:e>
                      <m:sub>
                        <m:r>
                          <a:rPr lang="es-CO" sz="1200" b="1" i="1" baseline="-25000">
                            <a:latin typeface="Cambria Math" panose="02040503050406030204" pitchFamily="18" charset="0"/>
                          </a:rPr>
                          <m:t>𝑹𝑺</m:t>
                        </m:r>
                      </m:sub>
                    </m:sSub>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flipH="1">
              <a:off x="13434644" y="242000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200" b="1" i="0">
                  <a:latin typeface="Cambria Math" panose="02040503050406030204" pitchFamily="18" charset="0"/>
                  <a:ea typeface="Cambria Math" panose="02040503050406030204" pitchFamily="18" charset="0"/>
                </a:rPr>
                <a:t>𝒕_</a:t>
              </a:r>
              <a:r>
                <a:rPr lang="es-CO" sz="1200" b="1" i="0" baseline="-25000">
                  <a:latin typeface="Cambria Math" panose="02040503050406030204" pitchFamily="18" charset="0"/>
                </a:rPr>
                <a:t>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382885</xdr:colOff>
      <xdr:row>75</xdr:row>
      <xdr:rowOff>25646</xdr:rowOff>
    </xdr:from>
    <xdr:ext cx="169566" cy="25058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100-000010000000}"/>
                </a:ext>
              </a:extLst>
            </xdr:cNvPr>
            <xdr:cNvSpPr txBox="1"/>
          </xdr:nvSpPr>
          <xdr:spPr>
            <a:xfrm>
              <a:off x="13489285" y="264194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𝜷</m:t>
                    </m:r>
                  </m:oMath>
                </m:oMathPara>
              </a14:m>
              <a:endParaRPr lang="es-CO" sz="1400" b="1"/>
            </a:p>
          </xdr:txBody>
        </xdr:sp>
      </mc:Choice>
      <mc:Fallback xmlns="">
        <xdr:sp macro="" textlink="">
          <xdr:nvSpPr>
            <xdr:cNvPr id="16" name="CuadroTexto 15"/>
            <xdr:cNvSpPr txBox="1"/>
          </xdr:nvSpPr>
          <xdr:spPr>
            <a:xfrm>
              <a:off x="13489285" y="264194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𝜷</a:t>
              </a:r>
              <a:endParaRPr lang="es-CO" sz="1400" b="1"/>
            </a:p>
          </xdr:txBody>
        </xdr:sp>
      </mc:Fallback>
    </mc:AlternateContent>
    <xdr:clientData/>
  </xdr:oneCellAnchor>
  <xdr:oneCellAnchor>
    <xdr:from>
      <xdr:col>13</xdr:col>
      <xdr:colOff>330550</xdr:colOff>
      <xdr:row>66</xdr:row>
      <xdr:rowOff>102263</xdr:rowOff>
    </xdr:from>
    <xdr:ext cx="345726" cy="333375"/>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100-000011000000}"/>
                </a:ext>
              </a:extLst>
            </xdr:cNvPr>
            <xdr:cNvSpPr txBox="1"/>
          </xdr:nvSpPr>
          <xdr:spPr>
            <a:xfrm>
              <a:off x="13436950" y="246386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𝒕</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7" name="CuadroTexto 16"/>
            <xdr:cNvSpPr txBox="1"/>
          </xdr:nvSpPr>
          <xdr:spPr>
            <a:xfrm>
              <a:off x="13436950" y="246386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326678</xdr:colOff>
      <xdr:row>72</xdr:row>
      <xdr:rowOff>108439</xdr:rowOff>
    </xdr:from>
    <xdr:ext cx="334630" cy="33337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100-000012000000}"/>
                </a:ext>
              </a:extLst>
            </xdr:cNvPr>
            <xdr:cNvSpPr txBox="1"/>
          </xdr:nvSpPr>
          <xdr:spPr>
            <a:xfrm>
              <a:off x="13433078" y="259592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8" name="CuadroTexto 17"/>
            <xdr:cNvSpPr txBox="1"/>
          </xdr:nvSpPr>
          <xdr:spPr>
            <a:xfrm>
              <a:off x="13433078" y="259592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297473</xdr:colOff>
      <xdr:row>63</xdr:row>
      <xdr:rowOff>42079</xdr:rowOff>
    </xdr:from>
    <xdr:ext cx="301241" cy="3117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100-000013000000}"/>
                </a:ext>
              </a:extLst>
            </xdr:cNvPr>
            <xdr:cNvSpPr txBox="1"/>
          </xdr:nvSpPr>
          <xdr:spPr>
            <a:xfrm>
              <a:off x="13403873" y="238069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𝑽</m:t>
                        </m:r>
                      </m:e>
                      <m:sub>
                        <m:r>
                          <a:rPr lang="es-CO" sz="1400" b="1" i="1">
                            <a:latin typeface="Cambria Math" panose="02040503050406030204" pitchFamily="18" charset="0"/>
                          </a:rPr>
                          <m:t>𝟎</m:t>
                        </m:r>
                      </m:sub>
                    </m:sSub>
                  </m:oMath>
                </m:oMathPara>
              </a14:m>
              <a:endParaRPr lang="es-CO" sz="1400" b="1">
                <a:latin typeface="Times New Roman" panose="02020603050405020304" pitchFamily="18" charset="0"/>
                <a:cs typeface="Times New Roman" panose="02020603050405020304" pitchFamily="18" charset="0"/>
              </a:endParaRPr>
            </a:p>
          </xdr:txBody>
        </xdr:sp>
      </mc:Choice>
      <mc:Fallback xmlns="">
        <xdr:sp macro="" textlink="">
          <xdr:nvSpPr>
            <xdr:cNvPr id="19" name="CuadroTexto 18"/>
            <xdr:cNvSpPr txBox="1"/>
          </xdr:nvSpPr>
          <xdr:spPr>
            <a:xfrm>
              <a:off x="13403873" y="238069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𝑽_</a:t>
              </a:r>
              <a:r>
                <a:rPr lang="es-CO" sz="1400" b="1" i="0">
                  <a:latin typeface="Cambria Math" panose="02040503050406030204" pitchFamily="18" charset="0"/>
                </a:rPr>
                <a:t>𝟎</a:t>
              </a:r>
              <a:endParaRPr lang="es-CO" sz="1400" b="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357239</xdr:colOff>
      <xdr:row>77</xdr:row>
      <xdr:rowOff>104775</xdr:rowOff>
    </xdr:from>
    <xdr:ext cx="214261" cy="164750"/>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100-000014000000}"/>
                </a:ext>
              </a:extLst>
            </xdr:cNvPr>
            <xdr:cNvSpPr txBox="1"/>
          </xdr:nvSpPr>
          <xdr:spPr>
            <a:xfrm>
              <a:off x="13463639" y="269367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𝒕</m:t>
                    </m:r>
                  </m:oMath>
                </m:oMathPara>
              </a14:m>
              <a:endParaRPr lang="es-CO" sz="1400" b="1" i="1"/>
            </a:p>
          </xdr:txBody>
        </xdr:sp>
      </mc:Choice>
      <mc:Fallback xmlns="">
        <xdr:sp macro="" textlink="">
          <xdr:nvSpPr>
            <xdr:cNvPr id="20" name="CuadroTexto 19"/>
            <xdr:cNvSpPr txBox="1"/>
          </xdr:nvSpPr>
          <xdr:spPr>
            <a:xfrm>
              <a:off x="13463639" y="269367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a:t>
              </a:r>
              <a:endParaRPr lang="es-CO" sz="1400" b="1" i="1"/>
            </a:p>
          </xdr:txBody>
        </xdr:sp>
      </mc:Fallback>
    </mc:AlternateContent>
    <xdr:clientData/>
  </xdr:oneCellAnchor>
  <xdr:oneCellAnchor>
    <xdr:from>
      <xdr:col>10</xdr:col>
      <xdr:colOff>153761</xdr:colOff>
      <xdr:row>5</xdr:row>
      <xdr:rowOff>383236</xdr:rowOff>
    </xdr:from>
    <xdr:ext cx="707536" cy="23615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 xmlns:a16="http://schemas.microsoft.com/office/drawing/2014/main" id="{00000000-0008-0000-0100-000015000000}"/>
                </a:ext>
              </a:extLst>
            </xdr:cNvPr>
            <xdr:cNvSpPr txBox="1"/>
          </xdr:nvSpPr>
          <xdr:spPr>
            <a:xfrm>
              <a:off x="10126436" y="2116786"/>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21" name="CuadroTexto 20"/>
            <xdr:cNvSpPr txBox="1"/>
          </xdr:nvSpPr>
          <xdr:spPr>
            <a:xfrm>
              <a:off x="10126436" y="2116786"/>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9</xdr:col>
      <xdr:colOff>222935</xdr:colOff>
      <xdr:row>56</xdr:row>
      <xdr:rowOff>68035</xdr:rowOff>
    </xdr:from>
    <xdr:ext cx="4294416" cy="285750"/>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100-000017000000}"/>
                </a:ext>
              </a:extLst>
            </xdr:cNvPr>
            <xdr:cNvSpPr txBox="1"/>
          </xdr:nvSpPr>
          <xdr:spPr>
            <a:xfrm>
              <a:off x="6526753" y="2252971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𝜷</m:t>
                    </m:r>
                    <m:r>
                      <a:rPr lang="es-CO" sz="1400" b="1" i="1">
                        <a:solidFill>
                          <a:schemeClr val="tx1"/>
                        </a:solidFill>
                        <a:effectLst/>
                        <a:latin typeface="Cambria Math" panose="02040503050406030204" pitchFamily="18" charset="0"/>
                        <a:ea typeface="+mn-ea"/>
                        <a:cs typeface="+mn-cs"/>
                      </a:rPr>
                      <m:t>=</m:t>
                    </m:r>
                    <m:d>
                      <m:dPr>
                        <m:ctrlPr>
                          <a:rPr lang="es-CO" sz="1400" b="1" i="1">
                            <a:solidFill>
                              <a:schemeClr val="tx1"/>
                            </a:solidFill>
                            <a:effectLst/>
                            <a:latin typeface="Cambria Math" panose="02040503050406030204" pitchFamily="18" charset="0"/>
                            <a:ea typeface="+mn-ea"/>
                            <a:cs typeface="+mn-cs"/>
                          </a:rPr>
                        </m:ctrlPr>
                      </m:dPr>
                      <m:e>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𝟏𝟏𝟕𝟔</m:t>
                        </m:r>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𝒕</m:t>
                            </m:r>
                          </m:e>
                          <m:sup>
                            <m:r>
                              <a:rPr lang="es-CO" sz="1400" b="1" i="1">
                                <a:solidFill>
                                  <a:schemeClr val="tx1"/>
                                </a:solidFill>
                                <a:effectLst/>
                                <a:latin typeface="Cambria Math" panose="02040503050406030204" pitchFamily="18" charset="0"/>
                                <a:ea typeface="+mn-ea"/>
                                <a:cs typeface="+mn-cs"/>
                              </a:rPr>
                              <m:t>𝟐</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𝟖𝟒𝟔</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𝟔𝟐</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𝟔𝟕𝟕</m:t>
                        </m:r>
                      </m:e>
                    </m:d>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𝟏𝟎</m:t>
                        </m:r>
                      </m:e>
                      <m: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𝑪</m:t>
                    </m:r>
                  </m:oMath>
                </m:oMathPara>
              </a14:m>
              <a:endParaRPr lang="es-CO" sz="1400">
                <a:effectLst/>
              </a:endParaRPr>
            </a:p>
          </xdr:txBody>
        </xdr:sp>
      </mc:Choice>
      <mc:Fallback xmlns="">
        <xdr:sp macro="" textlink="">
          <xdr:nvSpPr>
            <xdr:cNvPr id="23" name="CuadroTexto 22"/>
            <xdr:cNvSpPr txBox="1"/>
          </xdr:nvSpPr>
          <xdr:spPr>
            <a:xfrm>
              <a:off x="6526753" y="2252971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solidFill>
                    <a:schemeClr val="tx1"/>
                  </a:solidFill>
                  <a:effectLst/>
                  <a:latin typeface="Cambria Math" panose="02040503050406030204" pitchFamily="18" charset="0"/>
                  <a:ea typeface="+mn-ea"/>
                  <a:cs typeface="+mn-cs"/>
                </a:rPr>
                <a:t>𝜷=(−𝟎,𝟏𝟏𝟕𝟔∗𝒕^𝟐+𝟏𝟓,𝟖𝟒𝟔∗𝒕−𝟔𝟐,𝟔𝟕𝟕)∗〖𝟏𝟎〗^(−𝟔)/°𝑪</a:t>
              </a:r>
              <a:endParaRPr lang="es-CO" sz="1400">
                <a:effectLst/>
              </a:endParaRPr>
            </a:p>
          </xdr:txBody>
        </xdr:sp>
      </mc:Fallback>
    </mc:AlternateContent>
    <xdr:clientData/>
  </xdr:oneCellAnchor>
  <xdr:oneCellAnchor>
    <xdr:from>
      <xdr:col>9</xdr:col>
      <xdr:colOff>327945</xdr:colOff>
      <xdr:row>56</xdr:row>
      <xdr:rowOff>372275</xdr:rowOff>
    </xdr:from>
    <xdr:ext cx="1232796" cy="39113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100-000018000000}"/>
                </a:ext>
              </a:extLst>
            </xdr:cNvPr>
            <xdr:cNvSpPr txBox="1"/>
          </xdr:nvSpPr>
          <xdr:spPr>
            <a:xfrm>
              <a:off x="6414420" y="2211785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𝑹𝑺</m:t>
                            </m:r>
                            <m:r>
                              <a:rPr lang="es-CO" sz="1400" b="1" i="1">
                                <a:solidFill>
                                  <a:schemeClr val="tx1"/>
                                </a:solidFill>
                                <a:effectLst/>
                                <a:latin typeface="Cambria Math" panose="02040503050406030204" pitchFamily="18" charset="0"/>
                                <a:ea typeface="+mn-ea"/>
                                <a:cs typeface="+mn-cs"/>
                              </a:rPr>
                              <m:t> </m:t>
                            </m:r>
                          </m:sub>
                        </m:sSub>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𝑺𝑪𝑴</m:t>
                            </m:r>
                            <m:r>
                              <a:rPr lang="es-CO" sz="1400" b="1" i="1">
                                <a:solidFill>
                                  <a:schemeClr val="tx1"/>
                                </a:solidFill>
                                <a:effectLst/>
                                <a:latin typeface="Cambria Math" panose="02040503050406030204" pitchFamily="18" charset="0"/>
                                <a:ea typeface="+mn-ea"/>
                                <a:cs typeface="+mn-cs"/>
                              </a:rPr>
                              <m:t> </m:t>
                            </m:r>
                          </m:sub>
                        </m:sSub>
                      </m:num>
                      <m:den>
                        <m:r>
                          <a:rPr lang="es-CO" sz="1400" b="1" i="1">
                            <a:solidFill>
                              <a:schemeClr val="tx1"/>
                            </a:solidFill>
                            <a:effectLst/>
                            <a:latin typeface="Cambria Math" panose="02040503050406030204" pitchFamily="18" charset="0"/>
                            <a:ea typeface="+mn-ea"/>
                            <a:cs typeface="+mn-cs"/>
                          </a:rPr>
                          <m:t>𝟐</m:t>
                        </m:r>
                      </m:den>
                    </m:f>
                  </m:oMath>
                </m:oMathPara>
              </a14:m>
              <a:endParaRPr lang="es-CO" sz="1100">
                <a:latin typeface="Times New Roman" panose="02020603050405020304" pitchFamily="18" charset="0"/>
                <a:cs typeface="Times New Roman" panose="02020603050405020304" pitchFamily="18" charset="0"/>
              </a:endParaRPr>
            </a:p>
          </xdr:txBody>
        </xdr:sp>
      </mc:Choice>
      <mc:Fallback xmlns="">
        <xdr:sp macro="" textlink="">
          <xdr:nvSpPr>
            <xdr:cNvPr id="24" name="CuadroTexto 23"/>
            <xdr:cNvSpPr txBox="1"/>
          </xdr:nvSpPr>
          <xdr:spPr>
            <a:xfrm>
              <a:off x="6414420" y="2211785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𝒕=(𝒕_(𝑹𝑺 )+ 𝒕_(𝑺𝑪𝑴 ))/𝟐</a:t>
              </a:r>
              <a:endParaRPr lang="es-CO" sz="11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61</xdr:row>
      <xdr:rowOff>15585</xdr:rowOff>
    </xdr:from>
    <xdr:ext cx="4533485" cy="366280"/>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100-000019000000}"/>
                </a:ext>
              </a:extLst>
            </xdr:cNvPr>
            <xdr:cNvSpPr txBox="1"/>
          </xdr:nvSpPr>
          <xdr:spPr>
            <a:xfrm>
              <a:off x="4579792" y="233423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25" name="CuadroTexto 24"/>
            <xdr:cNvSpPr txBox="1"/>
          </xdr:nvSpPr>
          <xdr:spPr>
            <a:xfrm>
              <a:off x="4579792" y="233423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3</xdr:col>
      <xdr:colOff>232682</xdr:colOff>
      <xdr:row>109</xdr:row>
      <xdr:rowOff>79080</xdr:rowOff>
    </xdr:from>
    <xdr:ext cx="570140" cy="23388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100-00001A000000}"/>
                </a:ext>
              </a:extLst>
            </xdr:cNvPr>
            <xdr:cNvSpPr txBox="1"/>
          </xdr:nvSpPr>
          <xdr:spPr>
            <a:xfrm>
              <a:off x="3575957" y="377218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6" name="CuadroTexto 25"/>
            <xdr:cNvSpPr txBox="1"/>
          </xdr:nvSpPr>
          <xdr:spPr>
            <a:xfrm>
              <a:off x="3575957" y="377218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228599</xdr:colOff>
      <xdr:row>110</xdr:row>
      <xdr:rowOff>75320</xdr:rowOff>
    </xdr:from>
    <xdr:ext cx="583746" cy="258055"/>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100-00001B000000}"/>
                </a:ext>
              </a:extLst>
            </xdr:cNvPr>
            <xdr:cNvSpPr txBox="1"/>
          </xdr:nvSpPr>
          <xdr:spPr>
            <a:xfrm>
              <a:off x="3571874" y="380991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7" name="CuadroTexto 26"/>
            <xdr:cNvSpPr txBox="1"/>
          </xdr:nvSpPr>
          <xdr:spPr>
            <a:xfrm>
              <a:off x="3571874" y="380991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367392</xdr:colOff>
      <xdr:row>111</xdr:row>
      <xdr:rowOff>78440</xdr:rowOff>
    </xdr:from>
    <xdr:ext cx="427425" cy="261739"/>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100-00001C000000}"/>
                </a:ext>
              </a:extLst>
            </xdr:cNvPr>
            <xdr:cNvSpPr txBox="1"/>
          </xdr:nvSpPr>
          <xdr:spPr>
            <a:xfrm>
              <a:off x="3710667" y="384832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𝑟𝑒𝑝</m:t>
                        </m:r>
                      </m:sub>
                    </m:sSub>
                  </m:oMath>
                </m:oMathPara>
              </a14:m>
              <a:endParaRPr lang="es-CO" sz="1200">
                <a:solidFill>
                  <a:sysClr val="windowText" lastClr="000000"/>
                </a:solidFill>
              </a:endParaRPr>
            </a:p>
          </xdr:txBody>
        </xdr:sp>
      </mc:Choice>
      <mc:Fallback xmlns="">
        <xdr:sp macro="" textlink="">
          <xdr:nvSpPr>
            <xdr:cNvPr id="28" name="CuadroTexto 27"/>
            <xdr:cNvSpPr txBox="1"/>
          </xdr:nvSpPr>
          <xdr:spPr>
            <a:xfrm>
              <a:off x="3710667" y="384832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𝑟𝑒𝑝</a:t>
              </a:r>
              <a:endParaRPr lang="es-CO" sz="1200">
                <a:solidFill>
                  <a:sysClr val="windowText" lastClr="000000"/>
                </a:solidFill>
              </a:endParaRPr>
            </a:p>
          </xdr:txBody>
        </xdr:sp>
      </mc:Fallback>
    </mc:AlternateContent>
    <xdr:clientData/>
  </xdr:oneCellAnchor>
  <xdr:oneCellAnchor>
    <xdr:from>
      <xdr:col>3</xdr:col>
      <xdr:colOff>379399</xdr:colOff>
      <xdr:row>112</xdr:row>
      <xdr:rowOff>68037</xdr:rowOff>
    </xdr:from>
    <xdr:ext cx="464243" cy="300156"/>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100-00001D000000}"/>
                </a:ext>
              </a:extLst>
            </xdr:cNvPr>
            <xdr:cNvSpPr txBox="1"/>
          </xdr:nvSpPr>
          <xdr:spPr>
            <a:xfrm>
              <a:off x="3722674" y="388538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𝑎𝑑𝑑</m:t>
                        </m:r>
                      </m:sub>
                    </m:sSub>
                  </m:oMath>
                </m:oMathPara>
              </a14:m>
              <a:endParaRPr lang="es-CO" sz="1200">
                <a:solidFill>
                  <a:sysClr val="windowText" lastClr="000000"/>
                </a:solidFill>
              </a:endParaRPr>
            </a:p>
          </xdr:txBody>
        </xdr:sp>
      </mc:Choice>
      <mc:Fallback xmlns="">
        <xdr:sp macro="" textlink="">
          <xdr:nvSpPr>
            <xdr:cNvPr id="29" name="CuadroTexto 28"/>
            <xdr:cNvSpPr txBox="1"/>
          </xdr:nvSpPr>
          <xdr:spPr>
            <a:xfrm>
              <a:off x="3722674" y="388538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𝑎𝑑𝑑</a:t>
              </a:r>
              <a:endParaRPr lang="es-CO" sz="1200">
                <a:solidFill>
                  <a:sysClr val="windowText" lastClr="000000"/>
                </a:solidFill>
              </a:endParaRPr>
            </a:p>
          </xdr:txBody>
        </xdr:sp>
      </mc:Fallback>
    </mc:AlternateContent>
    <xdr:clientData/>
  </xdr:oneCellAnchor>
  <xdr:oneCellAnchor>
    <xdr:from>
      <xdr:col>11</xdr:col>
      <xdr:colOff>169689</xdr:colOff>
      <xdr:row>113</xdr:row>
      <xdr:rowOff>1802</xdr:rowOff>
    </xdr:from>
    <xdr:ext cx="1344704" cy="493060"/>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100-00001F000000}"/>
                </a:ext>
              </a:extLst>
            </xdr:cNvPr>
            <xdr:cNvSpPr txBox="1"/>
          </xdr:nvSpPr>
          <xdr:spPr>
            <a:xfrm>
              <a:off x="11218689" y="39168602"/>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𝒕</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𝑽𝒕</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31" name="CuadroTexto 30"/>
            <xdr:cNvSpPr txBox="1"/>
          </xdr:nvSpPr>
          <xdr:spPr>
            <a:xfrm>
              <a:off x="11218689" y="39168602"/>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(𝑽_𝒕)∑_𝒊▒(𝝏𝑽𝒕/𝝏𝒙𝒊(𝒙𝒊))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16</xdr:col>
      <xdr:colOff>628650</xdr:colOff>
      <xdr:row>47</xdr:row>
      <xdr:rowOff>290512</xdr:rowOff>
    </xdr:from>
    <xdr:ext cx="65" cy="172227"/>
    <xdr:sp macro="" textlink="">
      <xdr:nvSpPr>
        <xdr:cNvPr id="32" name="CuadroTexto 31">
          <a:extLst>
            <a:ext uri="{FF2B5EF4-FFF2-40B4-BE49-F238E27FC236}">
              <a16:creationId xmlns="" xmlns:a16="http://schemas.microsoft.com/office/drawing/2014/main" id="{00000000-0008-0000-0100-000020000000}"/>
            </a:ext>
          </a:extLst>
        </xdr:cNvPr>
        <xdr:cNvSpPr txBox="1"/>
      </xdr:nvSpPr>
      <xdr:spPr>
        <a:xfrm>
          <a:off x="16497300" y="189880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16</xdr:col>
      <xdr:colOff>628650</xdr:colOff>
      <xdr:row>120</xdr:row>
      <xdr:rowOff>0</xdr:rowOff>
    </xdr:from>
    <xdr:ext cx="65" cy="172227"/>
    <xdr:sp macro="" textlink="">
      <xdr:nvSpPr>
        <xdr:cNvPr id="33" name="CuadroTexto 32">
          <a:extLst>
            <a:ext uri="{FF2B5EF4-FFF2-40B4-BE49-F238E27FC236}">
              <a16:creationId xmlns="" xmlns:a16="http://schemas.microsoft.com/office/drawing/2014/main" id="{00000000-0008-0000-0100-000021000000}"/>
            </a:ext>
          </a:extLst>
        </xdr:cNvPr>
        <xdr:cNvSpPr txBox="1"/>
      </xdr:nvSpPr>
      <xdr:spPr>
        <a:xfrm>
          <a:off x="16497300" y="42071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649787</xdr:colOff>
      <xdr:row>83</xdr:row>
      <xdr:rowOff>202369</xdr:rowOff>
    </xdr:from>
    <xdr:ext cx="286492" cy="187872"/>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100-000022000000}"/>
                </a:ext>
              </a:extLst>
            </xdr:cNvPr>
            <xdr:cNvSpPr txBox="1"/>
          </xdr:nvSpPr>
          <xdr:spPr>
            <a:xfrm>
              <a:off x="3014228" y="30413428"/>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rPr>
                          <m:t>𝑽</m:t>
                        </m:r>
                      </m:e>
                      <m:sub>
                        <m:r>
                          <a:rPr lang="es-CO" sz="1200" b="1" i="1">
                            <a:latin typeface="Cambria Math" panose="02040503050406030204" pitchFamily="18" charset="0"/>
                          </a:rPr>
                          <m:t>𝒐</m:t>
                        </m:r>
                      </m:sub>
                    </m:sSub>
                  </m:oMath>
                </m:oMathPara>
              </a14:m>
              <a:endParaRPr lang="es-CO" sz="1100" b="1"/>
            </a:p>
          </xdr:txBody>
        </xdr:sp>
      </mc:Choice>
      <mc:Fallback xmlns="">
        <xdr:sp macro="" textlink="">
          <xdr:nvSpPr>
            <xdr:cNvPr id="34" name="CuadroTexto 33"/>
            <xdr:cNvSpPr txBox="1"/>
          </xdr:nvSpPr>
          <xdr:spPr>
            <a:xfrm>
              <a:off x="3014228" y="30413428"/>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b="1" i="0">
                  <a:latin typeface="Cambria Math" panose="02040503050406030204" pitchFamily="18" charset="0"/>
                </a:rPr>
                <a:t>𝑽_𝒐</a:t>
              </a:r>
              <a:endParaRPr lang="es-CO" sz="1100" b="1"/>
            </a:p>
          </xdr:txBody>
        </xdr:sp>
      </mc:Fallback>
    </mc:AlternateContent>
    <xdr:clientData/>
  </xdr:oneCellAnchor>
  <xdr:twoCellAnchor>
    <xdr:from>
      <xdr:col>0</xdr:col>
      <xdr:colOff>1009865</xdr:colOff>
      <xdr:row>46</xdr:row>
      <xdr:rowOff>20567</xdr:rowOff>
    </xdr:from>
    <xdr:to>
      <xdr:col>15</xdr:col>
      <xdr:colOff>698137</xdr:colOff>
      <xdr:row>47</xdr:row>
      <xdr:rowOff>561543</xdr:rowOff>
    </xdr:to>
    <xdr:sp macro="" textlink="">
      <xdr:nvSpPr>
        <xdr:cNvPr id="30" name="Rectángulo redondeado 29">
          <a:extLst>
            <a:ext uri="{FF2B5EF4-FFF2-40B4-BE49-F238E27FC236}">
              <a16:creationId xmlns="" xmlns:a16="http://schemas.microsoft.com/office/drawing/2014/main" id="{00000000-0008-0000-0100-00001E000000}"/>
            </a:ext>
          </a:extLst>
        </xdr:cNvPr>
        <xdr:cNvSpPr/>
      </xdr:nvSpPr>
      <xdr:spPr>
        <a:xfrm>
          <a:off x="1009865" y="18820536"/>
          <a:ext cx="14987803" cy="921976"/>
        </a:xfrm>
        <a:prstGeom prst="roundRect">
          <a:avLst/>
        </a:prstGeom>
        <a:solidFill>
          <a:schemeClr val="tx2">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1083588</xdr:colOff>
      <xdr:row>46</xdr:row>
      <xdr:rowOff>276008</xdr:rowOff>
    </xdr:from>
    <xdr:ext cx="14948649" cy="519544"/>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100-000016000000}"/>
                </a:ext>
              </a:extLst>
            </xdr:cNvPr>
            <xdr:cNvSpPr txBox="1"/>
          </xdr:nvSpPr>
          <xdr:spPr>
            <a:xfrm>
              <a:off x="1083588" y="19075977"/>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𝒕</m:t>
                      </m:r>
                    </m:sub>
                  </m:sSub>
                </m:oMath>
              </a14:m>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  </m:t>
                          </m:r>
                        </m:e>
                        <m:e>
                          <m:r>
                            <a:rPr lang="es-CO" sz="2800" b="1" i="1">
                              <a:solidFill>
                                <a:schemeClr val="bg1"/>
                              </a:solidFill>
                              <a:effectLst/>
                              <a:latin typeface="Cambria Math" panose="02040503050406030204" pitchFamily="18" charset="0"/>
                              <a:ea typeface="+mn-ea"/>
                              <a:cs typeface="+mn-cs"/>
                            </a:rPr>
                            <m:t> </m:t>
                          </m:r>
                        </m:e>
                      </m:eqArr>
                    </m:sub>
                  </m:sSub>
                  <m:d>
                    <m:dPr>
                      <m:begChr m:val="["/>
                      <m:endChr m:val="]"/>
                      <m:ctrlPr>
                        <a:rPr lang="es-CO" sz="2800" b="1" i="1">
                          <a:solidFill>
                            <a:schemeClr val="bg1"/>
                          </a:solidFill>
                          <a:effectLst/>
                          <a:latin typeface="Cambria Math" panose="02040503050406030204" pitchFamily="18" charset="0"/>
                          <a:ea typeface="+mn-ea"/>
                          <a:cs typeface="+mn-cs"/>
                        </a:rPr>
                      </m:ctrlPr>
                    </m:dPr>
                    <m:e>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𝟏</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𝑹𝒔</m:t>
                              </m:r>
                            </m:sub>
                          </m:sSub>
                        </m:e>
                      </m:eqArr>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 </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𝒓𝒔</m:t>
                              </m:r>
                            </m:sub>
                          </m:sSub>
                        </m:e>
                      </m:d>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𝜷</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𝒔𝒄𝒎</m:t>
                              </m:r>
                            </m:sub>
                          </m:sSub>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m:t>
                          </m:r>
                        </m:e>
                      </m:d>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𝑺𝑪𝑴</m:t>
                          </m:r>
                        </m:sub>
                      </m:sSub>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𝒕</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𝑺𝑪𝑴</m:t>
                              </m:r>
                            </m:sub>
                          </m:sSub>
                        </m:e>
                      </m:d>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𝒎𝒆𝒏</m:t>
                          </m:r>
                        </m:sub>
                      </m:sSub>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𝒓𝒆𝒑</m:t>
                          </m:r>
                        </m:sub>
                      </m:sSub>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𝒂𝒅𝒅</m:t>
                          </m:r>
                        </m:sub>
                      </m:sSub>
                      <m:r>
                        <a:rPr lang="es-CO" sz="2800" b="1" i="1">
                          <a:solidFill>
                            <a:schemeClr val="bg1"/>
                          </a:solidFill>
                          <a:effectLst/>
                          <a:latin typeface="Cambria Math" panose="02040503050406030204" pitchFamily="18" charset="0"/>
                          <a:ea typeface="+mn-ea"/>
                          <a:cs typeface="+mn-cs"/>
                        </a:rPr>
                        <m:t> </m:t>
                      </m:r>
                    </m:e>
                  </m:d>
                </m:oMath>
              </a14:m>
              <a:endParaRPr lang="es-CO" sz="2800">
                <a:solidFill>
                  <a:schemeClr val="bg1"/>
                </a:solidFill>
              </a:endParaRPr>
            </a:p>
          </xdr:txBody>
        </xdr:sp>
      </mc:Choice>
      <mc:Fallback xmlns="">
        <xdr:sp macro="" textlink="">
          <xdr:nvSpPr>
            <xdr:cNvPr id="22" name="CuadroTexto 21"/>
            <xdr:cNvSpPr txBox="1"/>
          </xdr:nvSpPr>
          <xdr:spPr>
            <a:xfrm>
              <a:off x="1083588" y="19075977"/>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s-CO" sz="2800" b="1" i="0">
                  <a:solidFill>
                    <a:schemeClr val="bg1"/>
                  </a:solidFill>
                  <a:effectLst/>
                  <a:latin typeface="Cambria Math" panose="02040503050406030204" pitchFamily="18" charset="0"/>
                  <a:ea typeface="+mn-ea"/>
                  <a:cs typeface="+mn-cs"/>
                </a:rPr>
                <a:t>𝑽_𝒕</a:t>
              </a:r>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r>
                <a:rPr lang="es-CO" sz="2800" b="1" i="0">
                  <a:solidFill>
                    <a:schemeClr val="bg1"/>
                  </a:solidFill>
                  <a:effectLst/>
                  <a:latin typeface="Cambria Math" panose="02040503050406030204" pitchFamily="18" charset="0"/>
                  <a:ea typeface="+mn-ea"/>
                  <a:cs typeface="+mn-cs"/>
                </a:rPr>
                <a:t>𝑽_█(𝟎  @ ) [█(𝟏−𝜸_𝑹𝒔 ) (𝒕_𝟎𝑹𝑺  − 𝒕_𝒓𝒔 )+𝜷(𝒕_𝒔𝒄𝒎−𝒕_𝑹𝑺  )+𝜸_𝑺𝑪𝑴  ( 𝒕−𝒕_𝑺𝑪𝑴 )]   +𝜹𝑽_𝒎𝒆𝒏+ 𝜹𝑽_𝒓𝒆𝒑+𝜹𝑽_𝒂𝒅𝒅  ]</a:t>
              </a:r>
              <a:endParaRPr lang="es-CO" sz="2800">
                <a:solidFill>
                  <a:schemeClr val="bg1"/>
                </a:solidFill>
              </a:endParaRPr>
            </a:p>
          </xdr:txBody>
        </xdr:sp>
      </mc:Fallback>
    </mc:AlternateContent>
    <xdr:clientData/>
  </xdr:oneCellAnchor>
  <xdr:twoCellAnchor>
    <xdr:from>
      <xdr:col>19</xdr:col>
      <xdr:colOff>122465</xdr:colOff>
      <xdr:row>5</xdr:row>
      <xdr:rowOff>594630</xdr:rowOff>
    </xdr:from>
    <xdr:to>
      <xdr:col>24</xdr:col>
      <xdr:colOff>142875</xdr:colOff>
      <xdr:row>11</xdr:row>
      <xdr:rowOff>295275</xdr:rowOff>
    </xdr:to>
    <xdr:graphicFrame macro="">
      <xdr:nvGraphicFramePr>
        <xdr:cNvPr id="36" name="Gráfico 35">
          <a:extLst>
            <a:ext uri="{FF2B5EF4-FFF2-40B4-BE49-F238E27FC236}">
              <a16:creationId xmlns="" xmlns:a16="http://schemas.microsoft.com/office/drawing/2014/main" id="{00000000-0008-0000-0100-00002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130629</xdr:colOff>
      <xdr:row>12</xdr:row>
      <xdr:rowOff>28575</xdr:rowOff>
    </xdr:from>
    <xdr:to>
      <xdr:col>24</xdr:col>
      <xdr:colOff>161925</xdr:colOff>
      <xdr:row>17</xdr:row>
      <xdr:rowOff>342900</xdr:rowOff>
    </xdr:to>
    <xdr:graphicFrame macro="">
      <xdr:nvGraphicFramePr>
        <xdr:cNvPr id="37" name="Gráfico 36">
          <a:extLst>
            <a:ext uri="{FF2B5EF4-FFF2-40B4-BE49-F238E27FC236}">
              <a16:creationId xmlns="" xmlns:a16="http://schemas.microsoft.com/office/drawing/2014/main" id="{00000000-0008-0000-01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61913</xdr:colOff>
      <xdr:row>32</xdr:row>
      <xdr:rowOff>42862</xdr:rowOff>
    </xdr:from>
    <xdr:to>
      <xdr:col>18</xdr:col>
      <xdr:colOff>386970</xdr:colOff>
      <xdr:row>35</xdr:row>
      <xdr:rowOff>178934</xdr:rowOff>
    </xdr:to>
    <xdr:graphicFrame macro="">
      <xdr:nvGraphicFramePr>
        <xdr:cNvPr id="38" name="Gráfico 37">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600075</xdr:colOff>
      <xdr:row>32</xdr:row>
      <xdr:rowOff>42862</xdr:rowOff>
    </xdr:from>
    <xdr:to>
      <xdr:col>21</xdr:col>
      <xdr:colOff>448882</xdr:colOff>
      <xdr:row>35</xdr:row>
      <xdr:rowOff>178934</xdr:rowOff>
    </xdr:to>
    <xdr:graphicFrame macro="">
      <xdr:nvGraphicFramePr>
        <xdr:cNvPr id="39" name="Gráfico 38">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671512</xdr:colOff>
      <xdr:row>32</xdr:row>
      <xdr:rowOff>33338</xdr:rowOff>
    </xdr:from>
    <xdr:to>
      <xdr:col>24</xdr:col>
      <xdr:colOff>520319</xdr:colOff>
      <xdr:row>35</xdr:row>
      <xdr:rowOff>169410</xdr:rowOff>
    </xdr:to>
    <xdr:graphicFrame macro="">
      <xdr:nvGraphicFramePr>
        <xdr:cNvPr id="40" name="Gráfico 39">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600076</xdr:colOff>
      <xdr:row>0</xdr:row>
      <xdr:rowOff>52197</xdr:rowOff>
    </xdr:from>
    <xdr:to>
      <xdr:col>2</xdr:col>
      <xdr:colOff>297656</xdr:colOff>
      <xdr:row>0</xdr:row>
      <xdr:rowOff>892968</xdr:rowOff>
    </xdr:to>
    <xdr:pic>
      <xdr:nvPicPr>
        <xdr:cNvPr id="2" name="Picture 50" descr="\\Abeltran\publico\Logo completo.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00076" y="52197"/>
          <a:ext cx="2281236" cy="840771"/>
        </a:xfrm>
        <a:prstGeom prst="rect">
          <a:avLst/>
        </a:prstGeom>
        <a:noFill/>
        <a:ln w="9525">
          <a:noFill/>
          <a:miter lim="800000"/>
          <a:headEnd/>
          <a:tailEnd/>
        </a:ln>
      </xdr:spPr>
    </xdr:pic>
    <xdr:clientData/>
  </xdr:twoCellAnchor>
  <xdr:oneCellAnchor>
    <xdr:from>
      <xdr:col>4</xdr:col>
      <xdr:colOff>773639</xdr:colOff>
      <xdr:row>55</xdr:row>
      <xdr:rowOff>54808</xdr:rowOff>
    </xdr:from>
    <xdr:ext cx="485775" cy="27176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2297639" y="2157178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3" name="CuadroTexto 2"/>
            <xdr:cNvSpPr txBox="1"/>
          </xdr:nvSpPr>
          <xdr:spPr>
            <a:xfrm>
              <a:off x="2297639" y="21571783"/>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10</xdr:col>
      <xdr:colOff>357716</xdr:colOff>
      <xdr:row>49</xdr:row>
      <xdr:rowOff>66675</xdr:rowOff>
    </xdr:from>
    <xdr:ext cx="277284" cy="176741"/>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6158441" y="192976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6158441" y="1929765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224472</xdr:colOff>
      <xdr:row>62</xdr:row>
      <xdr:rowOff>37084</xdr:rowOff>
    </xdr:from>
    <xdr:ext cx="1810415" cy="401066"/>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5253672" y="231352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5253672" y="2313520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63</xdr:row>
      <xdr:rowOff>371475</xdr:rowOff>
    </xdr:from>
    <xdr:ext cx="1702892" cy="461594"/>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5335217" y="235267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 name="CuadroTexto 5"/>
            <xdr:cNvSpPr txBox="1"/>
          </xdr:nvSpPr>
          <xdr:spPr>
            <a:xfrm>
              <a:off x="5335217" y="2352675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66</xdr:row>
      <xdr:rowOff>12152</xdr:rowOff>
    </xdr:from>
    <xdr:ext cx="1894821" cy="444221"/>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5299153" y="239865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5299153" y="2398657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68</xdr:row>
      <xdr:rowOff>28575</xdr:rowOff>
    </xdr:from>
    <xdr:ext cx="1800356" cy="42079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5257669" y="244411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8" name="CuadroTexto 7"/>
            <xdr:cNvSpPr txBox="1"/>
          </xdr:nvSpPr>
          <xdr:spPr>
            <a:xfrm>
              <a:off x="5257669" y="2444115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70</xdr:row>
      <xdr:rowOff>38034</xdr:rowOff>
    </xdr:from>
    <xdr:ext cx="2019300" cy="41187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5210175" y="248887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9" name="CuadroTexto 8"/>
            <xdr:cNvSpPr txBox="1"/>
          </xdr:nvSpPr>
          <xdr:spPr>
            <a:xfrm>
              <a:off x="5210175" y="2488875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343786</xdr:colOff>
      <xdr:row>72</xdr:row>
      <xdr:rowOff>38100</xdr:rowOff>
    </xdr:from>
    <xdr:ext cx="951614" cy="386655"/>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5372986" y="25326975"/>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𝑽𝒎𝒆𝒏</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0" name="CuadroTexto 9"/>
            <xdr:cNvSpPr txBox="1"/>
          </xdr:nvSpPr>
          <xdr:spPr>
            <a:xfrm>
              <a:off x="5372986" y="25326975"/>
              <a:ext cx="951614" cy="386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𝝏𝑽𝒕/𝝏𝜹𝑽𝒎𝒆𝒏</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218001</xdr:colOff>
      <xdr:row>74</xdr:row>
      <xdr:rowOff>112059</xdr:rowOff>
    </xdr:from>
    <xdr:ext cx="1115500" cy="395793"/>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5247201" y="257819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𝑽𝒓𝒆𝒑</m:t>
                        </m:r>
                      </m:den>
                    </m:f>
                    <m:r>
                      <a:rPr lang="es-CO" sz="1200" b="1" i="1">
                        <a:latin typeface="Cambria Math" panose="02040503050406030204" pitchFamily="18" charset="0"/>
                      </a:rPr>
                      <m:t>= </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1" name="CuadroTexto 10"/>
            <xdr:cNvSpPr txBox="1"/>
          </xdr:nvSpPr>
          <xdr:spPr>
            <a:xfrm>
              <a:off x="5247201" y="25781934"/>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𝝏𝑽𝒕/𝝏𝜹𝑽𝒓𝒆𝒑</a:t>
              </a:r>
              <a:r>
                <a:rPr lang="es-CO" sz="1200" b="1" i="0">
                  <a:latin typeface="Cambria Math" panose="02040503050406030204" pitchFamily="18" charset="0"/>
                </a:rPr>
                <a:t>= 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152059</xdr:colOff>
      <xdr:row>76</xdr:row>
      <xdr:rowOff>53386</xdr:rowOff>
    </xdr:from>
    <xdr:ext cx="1111805" cy="392205"/>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5812630" y="27934422"/>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𝝏𝜹</m:t>
                        </m:r>
                        <m:r>
                          <a:rPr lang="es-CO" sz="1200" b="1" i="1">
                            <a:latin typeface="Cambria Math" panose="02040503050406030204" pitchFamily="18" charset="0"/>
                            <a:ea typeface="Cambria Math" panose="02040503050406030204" pitchFamily="18" charset="0"/>
                          </a:rPr>
                          <m:t>𝑽𝒂𝒅𝒅</m:t>
                        </m:r>
                      </m:den>
                    </m:f>
                    <m:r>
                      <a:rPr lang="es-CO" sz="1200" b="1" i="1">
                        <a:latin typeface="Cambria Math" panose="02040503050406030204" pitchFamily="18" charset="0"/>
                      </a:rPr>
                      <m:t>=</m:t>
                    </m:r>
                    <m:r>
                      <a:rPr lang="es-CO" sz="1200" b="1" i="1">
                        <a:latin typeface="Cambria Math" panose="02040503050406030204" pitchFamily="18" charset="0"/>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2" name="CuadroTexto 11"/>
            <xdr:cNvSpPr txBox="1"/>
          </xdr:nvSpPr>
          <xdr:spPr>
            <a:xfrm>
              <a:off x="5812630" y="27934422"/>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𝝏𝑽𝒕/𝝏𝜹𝑽𝒂𝒅𝒅</a:t>
              </a:r>
              <a:r>
                <a:rPr lang="es-CO" sz="1200" b="1" i="0">
                  <a:latin typeface="Cambria Math" panose="02040503050406030204" pitchFamily="18" charset="0"/>
                </a:rPr>
                <a:t>=𝟏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385920</xdr:colOff>
      <xdr:row>69</xdr:row>
      <xdr:rowOff>1989</xdr:rowOff>
    </xdr:from>
    <xdr:ext cx="240010" cy="333375"/>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11044395" y="249098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3" name="CuadroTexto 12"/>
            <xdr:cNvSpPr txBox="1"/>
          </xdr:nvSpPr>
          <xdr:spPr>
            <a:xfrm>
              <a:off x="11044395" y="24909864"/>
              <a:ext cx="24001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𝑹𝑺</a:t>
              </a:r>
              <a:endParaRPr lang="es-CO" sz="1400" b="1"/>
            </a:p>
          </xdr:txBody>
        </xdr:sp>
      </mc:Fallback>
    </mc:AlternateContent>
    <xdr:clientData/>
  </xdr:oneCellAnchor>
  <xdr:oneCellAnchor>
    <xdr:from>
      <xdr:col>13</xdr:col>
      <xdr:colOff>353366</xdr:colOff>
      <xdr:row>67</xdr:row>
      <xdr:rowOff>1</xdr:rowOff>
    </xdr:from>
    <xdr:ext cx="326991" cy="35232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200-00000E000000}"/>
                </a:ext>
              </a:extLst>
            </xdr:cNvPr>
            <xdr:cNvSpPr txBox="1"/>
          </xdr:nvSpPr>
          <xdr:spPr>
            <a:xfrm>
              <a:off x="11011841" y="244697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rPr>
                          <m:t>𝒕</m:t>
                        </m:r>
                      </m:e>
                      <m:sub>
                        <m:r>
                          <a:rPr lang="es-CO" sz="1400" b="1" i="1" baseline="-25000">
                            <a:latin typeface="Cambria Math" panose="02040503050406030204" pitchFamily="18" charset="0"/>
                          </a:rPr>
                          <m:t>𝟎</m:t>
                        </m:r>
                        <m:r>
                          <a:rPr lang="es-CO" sz="1400" b="1" i="1" baseline="-25000">
                            <a:latin typeface="Cambria Math" panose="02040503050406030204" pitchFamily="18" charset="0"/>
                          </a:rPr>
                          <m:t>𝑹𝑺</m:t>
                        </m:r>
                      </m:sub>
                    </m:sSub>
                  </m:oMath>
                </m:oMathPara>
              </a14:m>
              <a:endParaRPr lang="es-CO" sz="1400" b="1"/>
            </a:p>
          </xdr:txBody>
        </xdr:sp>
      </mc:Choice>
      <mc:Fallback xmlns="">
        <xdr:sp macro="" textlink="">
          <xdr:nvSpPr>
            <xdr:cNvPr id="14" name="CuadroTexto 13"/>
            <xdr:cNvSpPr txBox="1"/>
          </xdr:nvSpPr>
          <xdr:spPr>
            <a:xfrm>
              <a:off x="11011841" y="24469726"/>
              <a:ext cx="326991" cy="352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rPr>
                <a:t>𝒕_</a:t>
              </a:r>
              <a:r>
                <a:rPr lang="es-CO" sz="1400" b="1" i="0" baseline="-25000">
                  <a:latin typeface="Cambria Math" panose="02040503050406030204" pitchFamily="18" charset="0"/>
                </a:rPr>
                <a:t>𝟎𝑹𝑺</a:t>
              </a:r>
              <a:endParaRPr lang="es-CO" sz="1400" b="1"/>
            </a:p>
          </xdr:txBody>
        </xdr:sp>
      </mc:Fallback>
    </mc:AlternateContent>
    <xdr:clientData/>
  </xdr:oneCellAnchor>
  <xdr:oneCellAnchor>
    <xdr:from>
      <xdr:col>13</xdr:col>
      <xdr:colOff>328244</xdr:colOff>
      <xdr:row>62</xdr:row>
      <xdr:rowOff>120894</xdr:rowOff>
    </xdr:from>
    <xdr:ext cx="229648" cy="355356"/>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flipH="1">
              <a:off x="10986719" y="235904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200" b="1" i="1">
                            <a:latin typeface="Cambria Math" panose="02040503050406030204" pitchFamily="18" charset="0"/>
                          </a:rPr>
                        </m:ctrlPr>
                      </m:sSubPr>
                      <m:e>
                        <m:r>
                          <a:rPr lang="es-CO" sz="1200" b="1" i="1">
                            <a:latin typeface="Cambria Math" panose="02040503050406030204" pitchFamily="18" charset="0"/>
                            <a:ea typeface="Cambria Math" panose="02040503050406030204" pitchFamily="18" charset="0"/>
                          </a:rPr>
                          <m:t>𝒕</m:t>
                        </m:r>
                      </m:e>
                      <m:sub>
                        <m:r>
                          <a:rPr lang="es-CO" sz="1200" b="1" i="1" baseline="-25000">
                            <a:latin typeface="Cambria Math" panose="02040503050406030204" pitchFamily="18" charset="0"/>
                          </a:rPr>
                          <m:t>𝑹𝑺</m:t>
                        </m:r>
                      </m:sub>
                    </m:sSub>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flipH="1">
              <a:off x="10986719" y="23590494"/>
              <a:ext cx="229648" cy="3553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200" b="1" i="0">
                  <a:latin typeface="Cambria Math" panose="02040503050406030204" pitchFamily="18" charset="0"/>
                  <a:ea typeface="Cambria Math" panose="02040503050406030204" pitchFamily="18" charset="0"/>
                </a:rPr>
                <a:t>𝒕_</a:t>
              </a:r>
              <a:r>
                <a:rPr lang="es-CO" sz="1200" b="1" i="0" baseline="-25000">
                  <a:latin typeface="Cambria Math" panose="02040503050406030204" pitchFamily="18" charset="0"/>
                </a:rPr>
                <a:t>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382885</xdr:colOff>
      <xdr:row>73</xdr:row>
      <xdr:rowOff>25646</xdr:rowOff>
    </xdr:from>
    <xdr:ext cx="169566" cy="250580"/>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11041360" y="258098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𝜷</m:t>
                    </m:r>
                  </m:oMath>
                </m:oMathPara>
              </a14:m>
              <a:endParaRPr lang="es-CO" sz="1400" b="1"/>
            </a:p>
          </xdr:txBody>
        </xdr:sp>
      </mc:Choice>
      <mc:Fallback xmlns="">
        <xdr:sp macro="" textlink="">
          <xdr:nvSpPr>
            <xdr:cNvPr id="16" name="CuadroTexto 15"/>
            <xdr:cNvSpPr txBox="1"/>
          </xdr:nvSpPr>
          <xdr:spPr>
            <a:xfrm>
              <a:off x="11041360" y="25809821"/>
              <a:ext cx="169566" cy="25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𝜷</a:t>
              </a:r>
              <a:endParaRPr lang="es-CO" sz="1400" b="1"/>
            </a:p>
          </xdr:txBody>
        </xdr:sp>
      </mc:Fallback>
    </mc:AlternateContent>
    <xdr:clientData/>
  </xdr:oneCellAnchor>
  <xdr:oneCellAnchor>
    <xdr:from>
      <xdr:col>13</xdr:col>
      <xdr:colOff>330550</xdr:colOff>
      <xdr:row>64</xdr:row>
      <xdr:rowOff>102263</xdr:rowOff>
    </xdr:from>
    <xdr:ext cx="345726" cy="333375"/>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0989025" y="240290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𝒕</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7" name="CuadroTexto 16"/>
            <xdr:cNvSpPr txBox="1"/>
          </xdr:nvSpPr>
          <xdr:spPr>
            <a:xfrm>
              <a:off x="10989025" y="24029063"/>
              <a:ext cx="345726"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326678</xdr:colOff>
      <xdr:row>70</xdr:row>
      <xdr:rowOff>108439</xdr:rowOff>
    </xdr:from>
    <xdr:ext cx="334630" cy="333375"/>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10985153" y="253496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𝜸</m:t>
                        </m:r>
                      </m:e>
                      <m:sub>
                        <m:r>
                          <a:rPr lang="es-CO" sz="1400" b="1" i="1" baseline="-25000">
                            <a:latin typeface="Cambria Math" panose="02040503050406030204" pitchFamily="18" charset="0"/>
                          </a:rPr>
                          <m:t>𝑺𝑪𝑴</m:t>
                        </m:r>
                      </m:sub>
                    </m:sSub>
                  </m:oMath>
                </m:oMathPara>
              </a14:m>
              <a:endParaRPr lang="es-CO" sz="1400" b="1"/>
            </a:p>
          </xdr:txBody>
        </xdr:sp>
      </mc:Choice>
      <mc:Fallback xmlns="">
        <xdr:sp macro="" textlink="">
          <xdr:nvSpPr>
            <xdr:cNvPr id="18" name="CuadroTexto 17"/>
            <xdr:cNvSpPr txBox="1"/>
          </xdr:nvSpPr>
          <xdr:spPr>
            <a:xfrm>
              <a:off x="10985153" y="25349689"/>
              <a:ext cx="33463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𝜸_</a:t>
              </a:r>
              <a:r>
                <a:rPr lang="es-CO" sz="1400" b="1" i="0" baseline="-25000">
                  <a:latin typeface="Cambria Math" panose="02040503050406030204" pitchFamily="18" charset="0"/>
                </a:rPr>
                <a:t>𝑺𝑪𝑴</a:t>
              </a:r>
              <a:endParaRPr lang="es-CO" sz="1400" b="1"/>
            </a:p>
          </xdr:txBody>
        </xdr:sp>
      </mc:Fallback>
    </mc:AlternateContent>
    <xdr:clientData/>
  </xdr:oneCellAnchor>
  <xdr:oneCellAnchor>
    <xdr:from>
      <xdr:col>13</xdr:col>
      <xdr:colOff>297473</xdr:colOff>
      <xdr:row>61</xdr:row>
      <xdr:rowOff>42079</xdr:rowOff>
    </xdr:from>
    <xdr:ext cx="301241" cy="311708"/>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200-000013000000}"/>
                </a:ext>
              </a:extLst>
            </xdr:cNvPr>
            <xdr:cNvSpPr txBox="1"/>
          </xdr:nvSpPr>
          <xdr:spPr>
            <a:xfrm>
              <a:off x="10955948" y="231973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sSub>
                      <m:sSubPr>
                        <m:ctrlPr>
                          <a:rPr lang="es-CO" sz="1400" b="1" i="1">
                            <a:latin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𝑽</m:t>
                        </m:r>
                      </m:e>
                      <m:sub>
                        <m:r>
                          <a:rPr lang="es-CO" sz="1400" b="1" i="1">
                            <a:latin typeface="Cambria Math" panose="02040503050406030204" pitchFamily="18" charset="0"/>
                          </a:rPr>
                          <m:t>𝟎</m:t>
                        </m:r>
                      </m:sub>
                    </m:sSub>
                  </m:oMath>
                </m:oMathPara>
              </a14:m>
              <a:endParaRPr lang="es-CO" sz="1400" b="1">
                <a:latin typeface="Times New Roman" panose="02020603050405020304" pitchFamily="18" charset="0"/>
                <a:cs typeface="Times New Roman" panose="02020603050405020304" pitchFamily="18" charset="0"/>
              </a:endParaRPr>
            </a:p>
          </xdr:txBody>
        </xdr:sp>
      </mc:Choice>
      <mc:Fallback xmlns="">
        <xdr:sp macro="" textlink="">
          <xdr:nvSpPr>
            <xdr:cNvPr id="19" name="CuadroTexto 18"/>
            <xdr:cNvSpPr txBox="1"/>
          </xdr:nvSpPr>
          <xdr:spPr>
            <a:xfrm>
              <a:off x="10955948" y="23197354"/>
              <a:ext cx="301241" cy="3117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𝑽_</a:t>
              </a:r>
              <a:r>
                <a:rPr lang="es-CO" sz="1400" b="1" i="0">
                  <a:latin typeface="Cambria Math" panose="02040503050406030204" pitchFamily="18" charset="0"/>
                </a:rPr>
                <a:t>𝟎</a:t>
              </a:r>
              <a:endParaRPr lang="es-CO" sz="1400" b="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13</xdr:col>
      <xdr:colOff>357239</xdr:colOff>
      <xdr:row>75</xdr:row>
      <xdr:rowOff>104775</xdr:rowOff>
    </xdr:from>
    <xdr:ext cx="214261" cy="164750"/>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11015714" y="263271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14:m>
                <m:oMathPara xmlns:m="http://schemas.openxmlformats.org/officeDocument/2006/math">
                  <m:oMathParaPr>
                    <m:jc m:val="center"/>
                  </m:oMathParaPr>
                  <m:oMath xmlns:m="http://schemas.openxmlformats.org/officeDocument/2006/math">
                    <m:r>
                      <a:rPr lang="es-CO" sz="1400" b="1" i="1">
                        <a:latin typeface="Cambria Math" panose="02040503050406030204" pitchFamily="18" charset="0"/>
                        <a:ea typeface="Cambria Math" panose="02040503050406030204" pitchFamily="18" charset="0"/>
                      </a:rPr>
                      <m:t>𝒕</m:t>
                    </m:r>
                  </m:oMath>
                </m:oMathPara>
              </a14:m>
              <a:endParaRPr lang="es-CO" sz="1400" b="1" i="1"/>
            </a:p>
          </xdr:txBody>
        </xdr:sp>
      </mc:Choice>
      <mc:Fallback xmlns="">
        <xdr:sp macro="" textlink="">
          <xdr:nvSpPr>
            <xdr:cNvPr id="20" name="CuadroTexto 19"/>
            <xdr:cNvSpPr txBox="1"/>
          </xdr:nvSpPr>
          <xdr:spPr>
            <a:xfrm>
              <a:off x="11015714" y="26327100"/>
              <a:ext cx="214261" cy="164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oAutofit/>
            </a:bodyPr>
            <a:lstStyle/>
            <a:p>
              <a:pPr/>
              <a:r>
                <a:rPr lang="es-CO" sz="1400" b="1" i="0">
                  <a:latin typeface="Cambria Math" panose="02040503050406030204" pitchFamily="18" charset="0"/>
                  <a:ea typeface="Cambria Math" panose="02040503050406030204" pitchFamily="18" charset="0"/>
                </a:rPr>
                <a:t>𝒕</a:t>
              </a:r>
              <a:endParaRPr lang="es-CO" sz="1400" b="1" i="1"/>
            </a:p>
          </xdr:txBody>
        </xdr:sp>
      </mc:Fallback>
    </mc:AlternateContent>
    <xdr:clientData/>
  </xdr:oneCellAnchor>
  <xdr:oneCellAnchor>
    <xdr:from>
      <xdr:col>10</xdr:col>
      <xdr:colOff>63273</xdr:colOff>
      <xdr:row>5</xdr:row>
      <xdr:rowOff>407049</xdr:rowOff>
    </xdr:from>
    <xdr:ext cx="707536" cy="236155"/>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9326336" y="224061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400" b="1" i="1">
                            <a:latin typeface="Cambria Math" panose="02040503050406030204" pitchFamily="18" charset="0"/>
                            <a:ea typeface="Cambria Math" panose="02040503050406030204" pitchFamily="18" charset="0"/>
                          </a:rPr>
                        </m:ctrlPr>
                      </m:sSubPr>
                      <m:e>
                        <m:r>
                          <a:rPr lang="es-CO" sz="1400" b="1" i="1">
                            <a:latin typeface="Cambria Math" panose="02040503050406030204" pitchFamily="18" charset="0"/>
                            <a:ea typeface="Cambria Math" panose="02040503050406030204" pitchFamily="18" charset="0"/>
                          </a:rPr>
                          <m:t>(</m:t>
                        </m:r>
                        <m:r>
                          <a:rPr lang="es-CO" sz="1400" b="1" i="1">
                            <a:latin typeface="Cambria Math" panose="02040503050406030204" pitchFamily="18" charset="0"/>
                            <a:ea typeface="Cambria Math" panose="02040503050406030204" pitchFamily="18" charset="0"/>
                          </a:rPr>
                          <m:t>𝜹</m:t>
                        </m:r>
                      </m:e>
                      <m:sub>
                        <m:r>
                          <a:rPr lang="es-CO" sz="1400" b="1" i="1">
                            <a:latin typeface="Cambria Math" panose="02040503050406030204" pitchFamily="18" charset="0"/>
                            <a:ea typeface="Cambria Math" panose="02040503050406030204" pitchFamily="18" charset="0"/>
                          </a:rPr>
                          <m:t>𝒅𝒓𝒊𝒇𝒕</m:t>
                        </m:r>
                        <m:r>
                          <a:rPr lang="es-CO" sz="1400" b="1" i="1">
                            <a:latin typeface="Cambria Math" panose="02040503050406030204" pitchFamily="18" charset="0"/>
                            <a:ea typeface="Cambria Math" panose="02040503050406030204" pitchFamily="18" charset="0"/>
                          </a:rPr>
                          <m:t> </m:t>
                        </m:r>
                      </m:sub>
                    </m:sSub>
                    <m:r>
                      <a:rPr lang="es-CO" sz="1400" b="1" i="1">
                        <a:latin typeface="Cambria Math" panose="02040503050406030204" pitchFamily="18" charset="0"/>
                        <a:ea typeface="Cambria Math" panose="02040503050406030204" pitchFamily="18" charset="0"/>
                      </a:rPr>
                      <m:t>)</m:t>
                    </m:r>
                  </m:oMath>
                </m:oMathPara>
              </a14:m>
              <a:endParaRPr lang="es-CO" sz="1400" b="1"/>
            </a:p>
          </xdr:txBody>
        </xdr:sp>
      </mc:Choice>
      <mc:Fallback xmlns="">
        <xdr:sp macro="" textlink="">
          <xdr:nvSpPr>
            <xdr:cNvPr id="21" name="CuadroTexto 20"/>
            <xdr:cNvSpPr txBox="1"/>
          </xdr:nvSpPr>
          <xdr:spPr>
            <a:xfrm>
              <a:off x="9326336" y="2240612"/>
              <a:ext cx="707536" cy="236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latin typeface="Cambria Math" panose="02040503050406030204" pitchFamily="18" charset="0"/>
                  <a:ea typeface="Cambria Math" panose="02040503050406030204" pitchFamily="18" charset="0"/>
                </a:rPr>
                <a:t>〖(𝜹〗_(𝒅𝒓𝒊𝒇𝒕 ))</a:t>
              </a:r>
              <a:endParaRPr lang="es-CO" sz="1400" b="1"/>
            </a:p>
          </xdr:txBody>
        </xdr:sp>
      </mc:Fallback>
    </mc:AlternateContent>
    <xdr:clientData/>
  </xdr:oneCellAnchor>
  <xdr:oneCellAnchor>
    <xdr:from>
      <xdr:col>9</xdr:col>
      <xdr:colOff>448073</xdr:colOff>
      <xdr:row>54</xdr:row>
      <xdr:rowOff>91847</xdr:rowOff>
    </xdr:from>
    <xdr:ext cx="4294416" cy="285750"/>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7806136" y="2199934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𝜷</m:t>
                    </m:r>
                    <m:r>
                      <a:rPr lang="es-CO" sz="1400" b="1" i="1">
                        <a:solidFill>
                          <a:schemeClr val="tx1"/>
                        </a:solidFill>
                        <a:effectLst/>
                        <a:latin typeface="Cambria Math" panose="02040503050406030204" pitchFamily="18" charset="0"/>
                        <a:ea typeface="+mn-ea"/>
                        <a:cs typeface="+mn-cs"/>
                      </a:rPr>
                      <m:t>=</m:t>
                    </m:r>
                    <m:d>
                      <m:dPr>
                        <m:ctrlPr>
                          <a:rPr lang="es-CO" sz="1400" b="1" i="1">
                            <a:solidFill>
                              <a:schemeClr val="tx1"/>
                            </a:solidFill>
                            <a:effectLst/>
                            <a:latin typeface="Cambria Math" panose="02040503050406030204" pitchFamily="18" charset="0"/>
                            <a:ea typeface="+mn-ea"/>
                            <a:cs typeface="+mn-cs"/>
                          </a:rPr>
                        </m:ctrlPr>
                      </m:dPr>
                      <m:e>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𝟎</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𝟏𝟏𝟕𝟔</m:t>
                        </m:r>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𝒕</m:t>
                            </m:r>
                          </m:e>
                          <m:sup>
                            <m:r>
                              <a:rPr lang="es-CO" sz="1400" b="1" i="1">
                                <a:solidFill>
                                  <a:schemeClr val="tx1"/>
                                </a:solidFill>
                                <a:effectLst/>
                                <a:latin typeface="Cambria Math" panose="02040503050406030204" pitchFamily="18" charset="0"/>
                                <a:ea typeface="+mn-ea"/>
                                <a:cs typeface="+mn-cs"/>
                              </a:rPr>
                              <m:t>𝟐</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𝟏𝟓</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𝟖𝟒𝟔</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𝟔𝟐</m:t>
                        </m:r>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𝟔𝟕𝟕</m:t>
                        </m:r>
                      </m:e>
                    </m:d>
                    <m:r>
                      <a:rPr lang="es-CO" sz="1400" b="1" i="1">
                        <a:solidFill>
                          <a:schemeClr val="tx1"/>
                        </a:solidFill>
                        <a:effectLst/>
                        <a:latin typeface="Cambria Math" panose="02040503050406030204" pitchFamily="18" charset="0"/>
                        <a:ea typeface="+mn-ea"/>
                        <a:cs typeface="+mn-cs"/>
                      </a:rPr>
                      <m:t>∗</m:t>
                    </m:r>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𝟏𝟎</m:t>
                        </m:r>
                      </m:e>
                      <m: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𝟔</m:t>
                        </m:r>
                      </m:sup>
                    </m:sSup>
                    <m:r>
                      <a:rPr lang="es-CO" sz="1400" b="1" i="1">
                        <a:solidFill>
                          <a:schemeClr val="tx1"/>
                        </a:solidFill>
                        <a:effectLst/>
                        <a:latin typeface="Cambria Math" panose="02040503050406030204" pitchFamily="18" charset="0"/>
                        <a:ea typeface="+mn-ea"/>
                        <a:cs typeface="+mn-cs"/>
                      </a:rPr>
                      <m:t>/°</m:t>
                    </m:r>
                    <m:r>
                      <a:rPr lang="es-CO" sz="1400" b="1" i="1">
                        <a:solidFill>
                          <a:schemeClr val="tx1"/>
                        </a:solidFill>
                        <a:effectLst/>
                        <a:latin typeface="Cambria Math" panose="02040503050406030204" pitchFamily="18" charset="0"/>
                        <a:ea typeface="+mn-ea"/>
                        <a:cs typeface="+mn-cs"/>
                      </a:rPr>
                      <m:t>𝑪</m:t>
                    </m:r>
                  </m:oMath>
                </m:oMathPara>
              </a14:m>
              <a:endParaRPr lang="es-CO" sz="1400">
                <a:effectLst/>
              </a:endParaRPr>
            </a:p>
          </xdr:txBody>
        </xdr:sp>
      </mc:Choice>
      <mc:Fallback xmlns="">
        <xdr:sp macro="" textlink="">
          <xdr:nvSpPr>
            <xdr:cNvPr id="23" name="CuadroTexto 22"/>
            <xdr:cNvSpPr txBox="1"/>
          </xdr:nvSpPr>
          <xdr:spPr>
            <a:xfrm>
              <a:off x="7806136" y="21999347"/>
              <a:ext cx="4294416"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solidFill>
                    <a:schemeClr val="tx1"/>
                  </a:solidFill>
                  <a:effectLst/>
                  <a:latin typeface="Cambria Math" panose="02040503050406030204" pitchFamily="18" charset="0"/>
                  <a:ea typeface="+mn-ea"/>
                  <a:cs typeface="+mn-cs"/>
                </a:rPr>
                <a:t>𝜷=(−𝟎,𝟏𝟏𝟕𝟔∗𝒕^𝟐+𝟏𝟓,𝟖𝟒𝟔∗𝒕−𝟔𝟐,𝟔𝟕𝟕)∗〖𝟏𝟎〗^(−𝟔)/°𝑪</a:t>
              </a:r>
              <a:endParaRPr lang="es-CO" sz="1400">
                <a:effectLst/>
              </a:endParaRPr>
            </a:p>
          </xdr:txBody>
        </xdr:sp>
      </mc:Fallback>
    </mc:AlternateContent>
    <xdr:clientData/>
  </xdr:oneCellAnchor>
  <xdr:oneCellAnchor>
    <xdr:from>
      <xdr:col>9</xdr:col>
      <xdr:colOff>792289</xdr:colOff>
      <xdr:row>54</xdr:row>
      <xdr:rowOff>360370</xdr:rowOff>
    </xdr:from>
    <xdr:ext cx="1232796" cy="39113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8150352" y="2226787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400" b="1" i="1">
                        <a:solidFill>
                          <a:schemeClr val="tx1"/>
                        </a:solidFill>
                        <a:effectLst/>
                        <a:latin typeface="Cambria Math" panose="02040503050406030204" pitchFamily="18" charset="0"/>
                        <a:ea typeface="+mn-ea"/>
                        <a:cs typeface="+mn-cs"/>
                      </a:rPr>
                      <m:t>𝒕</m:t>
                    </m:r>
                    <m:r>
                      <a:rPr lang="es-CO" sz="1400" b="1" i="1">
                        <a:solidFill>
                          <a:schemeClr val="tx1"/>
                        </a:solidFill>
                        <a:effectLst/>
                        <a:latin typeface="Cambria Math" panose="02040503050406030204" pitchFamily="18" charset="0"/>
                        <a:ea typeface="+mn-ea"/>
                        <a:cs typeface="+mn-cs"/>
                      </a:rPr>
                      <m:t>=</m:t>
                    </m:r>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𝑹𝑺</m:t>
                            </m:r>
                            <m:r>
                              <a:rPr lang="es-CO" sz="1400" b="1" i="1">
                                <a:solidFill>
                                  <a:schemeClr val="tx1"/>
                                </a:solidFill>
                                <a:effectLst/>
                                <a:latin typeface="Cambria Math" panose="02040503050406030204" pitchFamily="18" charset="0"/>
                                <a:ea typeface="+mn-ea"/>
                                <a:cs typeface="+mn-cs"/>
                              </a:rPr>
                              <m:t> </m:t>
                            </m:r>
                          </m:sub>
                        </m:sSub>
                        <m:r>
                          <a:rPr lang="es-CO" sz="1400" b="1" i="1">
                            <a:solidFill>
                              <a:schemeClr val="tx1"/>
                            </a:solidFill>
                            <a:effectLst/>
                            <a:latin typeface="Cambria Math" panose="02040503050406030204" pitchFamily="18" charset="0"/>
                            <a:ea typeface="+mn-ea"/>
                            <a:cs typeface="+mn-cs"/>
                          </a:rPr>
                          <m:t>+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𝒕</m:t>
                            </m:r>
                          </m:e>
                          <m:sub>
                            <m:r>
                              <a:rPr lang="es-CO" sz="1400" b="1" i="1">
                                <a:solidFill>
                                  <a:schemeClr val="tx1"/>
                                </a:solidFill>
                                <a:effectLst/>
                                <a:latin typeface="Cambria Math" panose="02040503050406030204" pitchFamily="18" charset="0"/>
                                <a:ea typeface="+mn-ea"/>
                                <a:cs typeface="+mn-cs"/>
                              </a:rPr>
                              <m:t>𝑺𝑪𝑴</m:t>
                            </m:r>
                            <m:r>
                              <a:rPr lang="es-CO" sz="1400" b="1" i="1">
                                <a:solidFill>
                                  <a:schemeClr val="tx1"/>
                                </a:solidFill>
                                <a:effectLst/>
                                <a:latin typeface="Cambria Math" panose="02040503050406030204" pitchFamily="18" charset="0"/>
                                <a:ea typeface="+mn-ea"/>
                                <a:cs typeface="+mn-cs"/>
                              </a:rPr>
                              <m:t> </m:t>
                            </m:r>
                          </m:sub>
                        </m:sSub>
                      </m:num>
                      <m:den>
                        <m:r>
                          <a:rPr lang="es-CO" sz="1400" b="1" i="1">
                            <a:solidFill>
                              <a:schemeClr val="tx1"/>
                            </a:solidFill>
                            <a:effectLst/>
                            <a:latin typeface="Cambria Math" panose="02040503050406030204" pitchFamily="18" charset="0"/>
                            <a:ea typeface="+mn-ea"/>
                            <a:cs typeface="+mn-cs"/>
                          </a:rPr>
                          <m:t>𝟐</m:t>
                        </m:r>
                      </m:den>
                    </m:f>
                  </m:oMath>
                </m:oMathPara>
              </a14:m>
              <a:endParaRPr lang="es-CO" sz="1100">
                <a:latin typeface="Times New Roman" panose="02020603050405020304" pitchFamily="18" charset="0"/>
                <a:cs typeface="Times New Roman" panose="02020603050405020304" pitchFamily="18" charset="0"/>
              </a:endParaRPr>
            </a:p>
          </xdr:txBody>
        </xdr:sp>
      </mc:Choice>
      <mc:Fallback xmlns="">
        <xdr:sp macro="" textlink="">
          <xdr:nvSpPr>
            <xdr:cNvPr id="24" name="CuadroTexto 23"/>
            <xdr:cNvSpPr txBox="1"/>
          </xdr:nvSpPr>
          <xdr:spPr>
            <a:xfrm>
              <a:off x="8150352" y="22267870"/>
              <a:ext cx="1232796" cy="391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𝒕=(𝒕_(𝑹𝑺 )+ 𝒕_(𝑺𝑪𝑴 ))/𝟐</a:t>
              </a:r>
              <a:endParaRPr lang="es-CO" sz="11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61</xdr:row>
      <xdr:rowOff>15585</xdr:rowOff>
    </xdr:from>
    <xdr:ext cx="4533485" cy="366280"/>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3732067" y="227327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25" name="CuadroTexto 24"/>
            <xdr:cNvSpPr txBox="1"/>
          </xdr:nvSpPr>
          <xdr:spPr>
            <a:xfrm>
              <a:off x="3732067" y="2273271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3</xdr:col>
      <xdr:colOff>232682</xdr:colOff>
      <xdr:row>109</xdr:row>
      <xdr:rowOff>79080</xdr:rowOff>
    </xdr:from>
    <xdr:ext cx="570140" cy="23388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2623457" y="371122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6" name="CuadroTexto 25"/>
            <xdr:cNvSpPr txBox="1"/>
          </xdr:nvSpPr>
          <xdr:spPr>
            <a:xfrm>
              <a:off x="2623457" y="37112280"/>
              <a:ext cx="570140" cy="233883"/>
            </a:xfrm>
            <a:prstGeom prst="rect">
              <a:avLst/>
            </a:prstGeom>
            <a:solidFill>
              <a:srgbClr val="9BC2E6"/>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228599</xdr:colOff>
      <xdr:row>110</xdr:row>
      <xdr:rowOff>75320</xdr:rowOff>
    </xdr:from>
    <xdr:ext cx="583746" cy="258055"/>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2619374" y="374895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b="0" i="1">
                            <a:solidFill>
                              <a:sysClr val="windowText" lastClr="000000"/>
                            </a:solidFill>
                            <a:latin typeface="Cambria Math" panose="02040503050406030204" pitchFamily="18" charset="0"/>
                          </a:rPr>
                          <m:t>𝑢</m:t>
                        </m:r>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𝑚𝑒𝑛</m:t>
                        </m:r>
                      </m:sub>
                    </m:sSub>
                  </m:oMath>
                </m:oMathPara>
              </a14:m>
              <a:endParaRPr lang="es-CO" sz="1200">
                <a:solidFill>
                  <a:sysClr val="windowText" lastClr="000000"/>
                </a:solidFill>
              </a:endParaRPr>
            </a:p>
          </xdr:txBody>
        </xdr:sp>
      </mc:Choice>
      <mc:Fallback xmlns="">
        <xdr:sp macro="" textlink="">
          <xdr:nvSpPr>
            <xdr:cNvPr id="27" name="CuadroTexto 26"/>
            <xdr:cNvSpPr txBox="1"/>
          </xdr:nvSpPr>
          <xdr:spPr>
            <a:xfrm>
              <a:off x="2619374" y="37489520"/>
              <a:ext cx="583746" cy="25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b="0" i="0">
                  <a:solidFill>
                    <a:sysClr val="windowText" lastClr="000000"/>
                  </a:solidFill>
                  <a:latin typeface="Cambria Math" panose="02040503050406030204" pitchFamily="18" charset="0"/>
                </a:rPr>
                <a:t>𝑢</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𝑚𝑒𝑛</a:t>
              </a:r>
              <a:endParaRPr lang="es-CO" sz="1200">
                <a:solidFill>
                  <a:sysClr val="windowText" lastClr="000000"/>
                </a:solidFill>
              </a:endParaRPr>
            </a:p>
          </xdr:txBody>
        </xdr:sp>
      </mc:Fallback>
    </mc:AlternateContent>
    <xdr:clientData/>
  </xdr:oneCellAnchor>
  <xdr:oneCellAnchor>
    <xdr:from>
      <xdr:col>3</xdr:col>
      <xdr:colOff>367392</xdr:colOff>
      <xdr:row>111</xdr:row>
      <xdr:rowOff>78440</xdr:rowOff>
    </xdr:from>
    <xdr:ext cx="427425" cy="261739"/>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2758167" y="378736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𝑟𝑒𝑝</m:t>
                        </m:r>
                      </m:sub>
                    </m:sSub>
                  </m:oMath>
                </m:oMathPara>
              </a14:m>
              <a:endParaRPr lang="es-CO" sz="1200">
                <a:solidFill>
                  <a:sysClr val="windowText" lastClr="000000"/>
                </a:solidFill>
              </a:endParaRPr>
            </a:p>
          </xdr:txBody>
        </xdr:sp>
      </mc:Choice>
      <mc:Fallback xmlns="">
        <xdr:sp macro="" textlink="">
          <xdr:nvSpPr>
            <xdr:cNvPr id="28" name="CuadroTexto 27"/>
            <xdr:cNvSpPr txBox="1"/>
          </xdr:nvSpPr>
          <xdr:spPr>
            <a:xfrm>
              <a:off x="2758167" y="37873640"/>
              <a:ext cx="427425" cy="26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𝑟𝑒𝑝</a:t>
              </a:r>
              <a:endParaRPr lang="es-CO" sz="1200">
                <a:solidFill>
                  <a:sysClr val="windowText" lastClr="000000"/>
                </a:solidFill>
              </a:endParaRPr>
            </a:p>
          </xdr:txBody>
        </xdr:sp>
      </mc:Fallback>
    </mc:AlternateContent>
    <xdr:clientData/>
  </xdr:oneCellAnchor>
  <xdr:oneCellAnchor>
    <xdr:from>
      <xdr:col>3</xdr:col>
      <xdr:colOff>379399</xdr:colOff>
      <xdr:row>112</xdr:row>
      <xdr:rowOff>68037</xdr:rowOff>
    </xdr:from>
    <xdr:ext cx="464243" cy="300156"/>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2770174" y="382442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200" i="1">
                            <a:solidFill>
                              <a:sysClr val="windowText" lastClr="000000"/>
                            </a:solidFill>
                            <a:latin typeface="Cambria Math" panose="02040503050406030204" pitchFamily="18" charset="0"/>
                          </a:rPr>
                        </m:ctrlPr>
                      </m:sSubPr>
                      <m:e>
                        <m:r>
                          <a:rPr lang="es-CO" sz="1200" i="1">
                            <a:solidFill>
                              <a:sysClr val="windowText" lastClr="000000"/>
                            </a:solidFill>
                            <a:latin typeface="Cambria Math" panose="02040503050406030204" pitchFamily="18" charset="0"/>
                            <a:ea typeface="Cambria Math" panose="02040503050406030204" pitchFamily="18" charset="0"/>
                          </a:rPr>
                          <m:t>𝛿</m:t>
                        </m:r>
                        <m:r>
                          <a:rPr lang="es-CO" sz="1200" b="0" i="1">
                            <a:solidFill>
                              <a:sysClr val="windowText" lastClr="000000"/>
                            </a:solidFill>
                            <a:latin typeface="Cambria Math" panose="02040503050406030204" pitchFamily="18" charset="0"/>
                            <a:ea typeface="Cambria Math" panose="02040503050406030204" pitchFamily="18" charset="0"/>
                          </a:rPr>
                          <m:t>𝑉</m:t>
                        </m:r>
                      </m:e>
                      <m:sub>
                        <m:r>
                          <a:rPr lang="es-CO" sz="1200" b="0" i="1">
                            <a:solidFill>
                              <a:sysClr val="windowText" lastClr="000000"/>
                            </a:solidFill>
                            <a:latin typeface="Cambria Math" panose="02040503050406030204" pitchFamily="18" charset="0"/>
                          </a:rPr>
                          <m:t>𝑎𝑑𝑑</m:t>
                        </m:r>
                      </m:sub>
                    </m:sSub>
                  </m:oMath>
                </m:oMathPara>
              </a14:m>
              <a:endParaRPr lang="es-CO" sz="1200">
                <a:solidFill>
                  <a:sysClr val="windowText" lastClr="000000"/>
                </a:solidFill>
              </a:endParaRPr>
            </a:p>
          </xdr:txBody>
        </xdr:sp>
      </mc:Choice>
      <mc:Fallback xmlns="">
        <xdr:sp macro="" textlink="">
          <xdr:nvSpPr>
            <xdr:cNvPr id="29" name="CuadroTexto 28"/>
            <xdr:cNvSpPr txBox="1"/>
          </xdr:nvSpPr>
          <xdr:spPr>
            <a:xfrm>
              <a:off x="2770174" y="38244237"/>
              <a:ext cx="464243" cy="300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200" i="0">
                  <a:solidFill>
                    <a:sysClr val="windowText" lastClr="000000"/>
                  </a:solidFill>
                  <a:latin typeface="Cambria Math" panose="02040503050406030204" pitchFamily="18" charset="0"/>
                </a:rPr>
                <a:t>〖</a:t>
              </a:r>
              <a:r>
                <a:rPr lang="es-CO" sz="1200" i="0">
                  <a:solidFill>
                    <a:sysClr val="windowText" lastClr="000000"/>
                  </a:solidFill>
                  <a:latin typeface="Cambria Math" panose="02040503050406030204" pitchFamily="18" charset="0"/>
                  <a:ea typeface="Cambria Math" panose="02040503050406030204" pitchFamily="18" charset="0"/>
                </a:rPr>
                <a:t>𝛿</a:t>
              </a:r>
              <a:r>
                <a:rPr lang="es-CO" sz="1200" b="0" i="0">
                  <a:solidFill>
                    <a:sysClr val="windowText" lastClr="000000"/>
                  </a:solidFill>
                  <a:latin typeface="Cambria Math" panose="02040503050406030204" pitchFamily="18" charset="0"/>
                  <a:ea typeface="Cambria Math" panose="02040503050406030204" pitchFamily="18" charset="0"/>
                </a:rPr>
                <a:t>𝑉〗_</a:t>
              </a:r>
              <a:r>
                <a:rPr lang="es-CO" sz="1200" b="0" i="0">
                  <a:solidFill>
                    <a:sysClr val="windowText" lastClr="000000"/>
                  </a:solidFill>
                  <a:latin typeface="Cambria Math" panose="02040503050406030204" pitchFamily="18" charset="0"/>
                </a:rPr>
                <a:t>𝑎𝑑𝑑</a:t>
              </a:r>
              <a:endParaRPr lang="es-CO" sz="1200">
                <a:solidFill>
                  <a:sysClr val="windowText" lastClr="000000"/>
                </a:solidFill>
              </a:endParaRPr>
            </a:p>
          </xdr:txBody>
        </xdr:sp>
      </mc:Fallback>
    </mc:AlternateContent>
    <xdr:clientData/>
  </xdr:oneCellAnchor>
  <xdr:oneCellAnchor>
    <xdr:from>
      <xdr:col>11</xdr:col>
      <xdr:colOff>62531</xdr:colOff>
      <xdr:row>113</xdr:row>
      <xdr:rowOff>49428</xdr:rowOff>
    </xdr:from>
    <xdr:ext cx="1344704" cy="493060"/>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200-00001F000000}"/>
                </a:ext>
              </a:extLst>
            </xdr:cNvPr>
            <xdr:cNvSpPr txBox="1"/>
          </xdr:nvSpPr>
          <xdr:spPr>
            <a:xfrm>
              <a:off x="9111281" y="420546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𝒕</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𝑽𝒕</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31" name="CuadroTexto 30"/>
            <xdr:cNvSpPr txBox="1"/>
          </xdr:nvSpPr>
          <xdr:spPr>
            <a:xfrm>
              <a:off x="9111281" y="42054678"/>
              <a:ext cx="1344704"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(𝑽_𝒕)∑_𝒊▒(𝝏𝑽𝒕/𝝏𝒙𝒊(𝒙𝒊))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16</xdr:col>
      <xdr:colOff>628650</xdr:colOff>
      <xdr:row>120</xdr:row>
      <xdr:rowOff>0</xdr:rowOff>
    </xdr:from>
    <xdr:ext cx="65" cy="172227"/>
    <xdr:sp macro="" textlink="">
      <xdr:nvSpPr>
        <xdr:cNvPr id="33" name="CuadroTexto 32">
          <a:extLst>
            <a:ext uri="{FF2B5EF4-FFF2-40B4-BE49-F238E27FC236}">
              <a16:creationId xmlns="" xmlns:a16="http://schemas.microsoft.com/office/drawing/2014/main" id="{00000000-0008-0000-0200-000021000000}"/>
            </a:ext>
          </a:extLst>
        </xdr:cNvPr>
        <xdr:cNvSpPr txBox="1"/>
      </xdr:nvSpPr>
      <xdr:spPr>
        <a:xfrm>
          <a:off x="14230350" y="41462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649387</xdr:colOff>
      <xdr:row>83</xdr:row>
      <xdr:rowOff>233584</xdr:rowOff>
    </xdr:from>
    <xdr:ext cx="286492" cy="187872"/>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200-000022000000}"/>
                </a:ext>
              </a:extLst>
            </xdr:cNvPr>
            <xdr:cNvSpPr txBox="1"/>
          </xdr:nvSpPr>
          <xdr:spPr>
            <a:xfrm>
              <a:off x="2173387" y="28151359"/>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200" i="1">
                            <a:latin typeface="Cambria Math" panose="02040503050406030204" pitchFamily="18" charset="0"/>
                          </a:rPr>
                        </m:ctrlPr>
                      </m:sSubPr>
                      <m:e>
                        <m:r>
                          <a:rPr lang="es-CO" sz="1200" b="0" i="1">
                            <a:latin typeface="Cambria Math" panose="02040503050406030204" pitchFamily="18" charset="0"/>
                          </a:rPr>
                          <m:t>𝑉</m:t>
                        </m:r>
                      </m:e>
                      <m:sub>
                        <m:r>
                          <a:rPr lang="es-CO" sz="1200" b="0" i="1">
                            <a:latin typeface="Cambria Math" panose="02040503050406030204" pitchFamily="18" charset="0"/>
                          </a:rPr>
                          <m:t>𝑜</m:t>
                        </m:r>
                      </m:sub>
                    </m:sSub>
                  </m:oMath>
                </m:oMathPara>
              </a14:m>
              <a:endParaRPr lang="es-CO" sz="1100"/>
            </a:p>
          </xdr:txBody>
        </xdr:sp>
      </mc:Choice>
      <mc:Fallback xmlns="">
        <xdr:sp macro="" textlink="">
          <xdr:nvSpPr>
            <xdr:cNvPr id="34" name="CuadroTexto 33"/>
            <xdr:cNvSpPr txBox="1"/>
          </xdr:nvSpPr>
          <xdr:spPr>
            <a:xfrm>
              <a:off x="2173387" y="28151359"/>
              <a:ext cx="286492"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200" b="0" i="0">
                  <a:latin typeface="Cambria Math" panose="02040503050406030204" pitchFamily="18" charset="0"/>
                </a:rPr>
                <a:t>𝑉_𝑜</a:t>
              </a:r>
              <a:endParaRPr lang="es-CO" sz="1100"/>
            </a:p>
          </xdr:txBody>
        </xdr:sp>
      </mc:Fallback>
    </mc:AlternateContent>
    <xdr:clientData/>
  </xdr:oneCellAnchor>
  <xdr:oneCellAnchor>
    <xdr:from>
      <xdr:col>4</xdr:col>
      <xdr:colOff>628650</xdr:colOff>
      <xdr:row>48</xdr:row>
      <xdr:rowOff>290512</xdr:rowOff>
    </xdr:from>
    <xdr:ext cx="65" cy="172227"/>
    <xdr:sp macro="" textlink="">
      <xdr:nvSpPr>
        <xdr:cNvPr id="41" name="CuadroTexto 40">
          <a:extLst>
            <a:ext uri="{FF2B5EF4-FFF2-40B4-BE49-F238E27FC236}">
              <a16:creationId xmlns="" xmlns:a16="http://schemas.microsoft.com/office/drawing/2014/main" id="{00000000-0008-0000-0200-000029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5</xdr:col>
      <xdr:colOff>628650</xdr:colOff>
      <xdr:row>48</xdr:row>
      <xdr:rowOff>290512</xdr:rowOff>
    </xdr:from>
    <xdr:ext cx="65" cy="172227"/>
    <xdr:sp macro="" textlink="">
      <xdr:nvSpPr>
        <xdr:cNvPr id="42" name="CuadroTexto 41">
          <a:extLst>
            <a:ext uri="{FF2B5EF4-FFF2-40B4-BE49-F238E27FC236}">
              <a16:creationId xmlns="" xmlns:a16="http://schemas.microsoft.com/office/drawing/2014/main" id="{00000000-0008-0000-0200-00002A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6</xdr:col>
      <xdr:colOff>628650</xdr:colOff>
      <xdr:row>48</xdr:row>
      <xdr:rowOff>290512</xdr:rowOff>
    </xdr:from>
    <xdr:ext cx="65" cy="172227"/>
    <xdr:sp macro="" textlink="">
      <xdr:nvSpPr>
        <xdr:cNvPr id="43" name="CuadroTexto 42">
          <a:extLst>
            <a:ext uri="{FF2B5EF4-FFF2-40B4-BE49-F238E27FC236}">
              <a16:creationId xmlns="" xmlns:a16="http://schemas.microsoft.com/office/drawing/2014/main" id="{00000000-0008-0000-0200-00002B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7</xdr:col>
      <xdr:colOff>628650</xdr:colOff>
      <xdr:row>48</xdr:row>
      <xdr:rowOff>290512</xdr:rowOff>
    </xdr:from>
    <xdr:ext cx="65" cy="172227"/>
    <xdr:sp macro="" textlink="">
      <xdr:nvSpPr>
        <xdr:cNvPr id="44" name="CuadroTexto 43">
          <a:extLst>
            <a:ext uri="{FF2B5EF4-FFF2-40B4-BE49-F238E27FC236}">
              <a16:creationId xmlns="" xmlns:a16="http://schemas.microsoft.com/office/drawing/2014/main" id="{00000000-0008-0000-0200-00002C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8</xdr:col>
      <xdr:colOff>628650</xdr:colOff>
      <xdr:row>48</xdr:row>
      <xdr:rowOff>290512</xdr:rowOff>
    </xdr:from>
    <xdr:ext cx="65" cy="172227"/>
    <xdr:sp macro="" textlink="">
      <xdr:nvSpPr>
        <xdr:cNvPr id="45" name="CuadroTexto 44">
          <a:extLst>
            <a:ext uri="{FF2B5EF4-FFF2-40B4-BE49-F238E27FC236}">
              <a16:creationId xmlns="" xmlns:a16="http://schemas.microsoft.com/office/drawing/2014/main" id="{00000000-0008-0000-0200-00002D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48</xdr:row>
      <xdr:rowOff>290512</xdr:rowOff>
    </xdr:from>
    <xdr:ext cx="65" cy="172227"/>
    <xdr:sp macro="" textlink="">
      <xdr:nvSpPr>
        <xdr:cNvPr id="46" name="CuadroTexto 45">
          <a:extLst>
            <a:ext uri="{FF2B5EF4-FFF2-40B4-BE49-F238E27FC236}">
              <a16:creationId xmlns="" xmlns:a16="http://schemas.microsoft.com/office/drawing/2014/main" id="{00000000-0008-0000-0200-00002E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48</xdr:row>
      <xdr:rowOff>290512</xdr:rowOff>
    </xdr:from>
    <xdr:ext cx="65" cy="172227"/>
    <xdr:sp macro="" textlink="">
      <xdr:nvSpPr>
        <xdr:cNvPr id="47" name="CuadroTexto 46">
          <a:extLst>
            <a:ext uri="{FF2B5EF4-FFF2-40B4-BE49-F238E27FC236}">
              <a16:creationId xmlns="" xmlns:a16="http://schemas.microsoft.com/office/drawing/2014/main" id="{00000000-0008-0000-0200-00002F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48</xdr:row>
      <xdr:rowOff>290512</xdr:rowOff>
    </xdr:from>
    <xdr:ext cx="65" cy="172227"/>
    <xdr:sp macro="" textlink="">
      <xdr:nvSpPr>
        <xdr:cNvPr id="48" name="CuadroTexto 47">
          <a:extLst>
            <a:ext uri="{FF2B5EF4-FFF2-40B4-BE49-F238E27FC236}">
              <a16:creationId xmlns="" xmlns:a16="http://schemas.microsoft.com/office/drawing/2014/main" id="{00000000-0008-0000-0200-000030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9</xdr:col>
      <xdr:colOff>628650</xdr:colOff>
      <xdr:row>48</xdr:row>
      <xdr:rowOff>290512</xdr:rowOff>
    </xdr:from>
    <xdr:ext cx="65" cy="172227"/>
    <xdr:sp macro="" textlink="">
      <xdr:nvSpPr>
        <xdr:cNvPr id="49" name="CuadroTexto 48">
          <a:extLst>
            <a:ext uri="{FF2B5EF4-FFF2-40B4-BE49-F238E27FC236}">
              <a16:creationId xmlns="" xmlns:a16="http://schemas.microsoft.com/office/drawing/2014/main" id="{00000000-0008-0000-0200-000031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10</xdr:col>
      <xdr:colOff>628650</xdr:colOff>
      <xdr:row>48</xdr:row>
      <xdr:rowOff>290512</xdr:rowOff>
    </xdr:from>
    <xdr:ext cx="65" cy="172227"/>
    <xdr:sp macro="" textlink="">
      <xdr:nvSpPr>
        <xdr:cNvPr id="50" name="CuadroTexto 49">
          <a:extLst>
            <a:ext uri="{FF2B5EF4-FFF2-40B4-BE49-F238E27FC236}">
              <a16:creationId xmlns="" xmlns:a16="http://schemas.microsoft.com/office/drawing/2014/main" id="{00000000-0008-0000-0200-000032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11</xdr:col>
      <xdr:colOff>628650</xdr:colOff>
      <xdr:row>48</xdr:row>
      <xdr:rowOff>290512</xdr:rowOff>
    </xdr:from>
    <xdr:ext cx="65" cy="172227"/>
    <xdr:sp macro="" textlink="">
      <xdr:nvSpPr>
        <xdr:cNvPr id="51" name="CuadroTexto 50">
          <a:extLst>
            <a:ext uri="{FF2B5EF4-FFF2-40B4-BE49-F238E27FC236}">
              <a16:creationId xmlns="" xmlns:a16="http://schemas.microsoft.com/office/drawing/2014/main" id="{00000000-0008-0000-0200-000033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12</xdr:col>
      <xdr:colOff>628650</xdr:colOff>
      <xdr:row>49</xdr:row>
      <xdr:rowOff>290512</xdr:rowOff>
    </xdr:from>
    <xdr:ext cx="65" cy="172227"/>
    <xdr:sp macro="" textlink="">
      <xdr:nvSpPr>
        <xdr:cNvPr id="52" name="CuadroTexto 51">
          <a:extLst>
            <a:ext uri="{FF2B5EF4-FFF2-40B4-BE49-F238E27FC236}">
              <a16:creationId xmlns="" xmlns:a16="http://schemas.microsoft.com/office/drawing/2014/main" id="{00000000-0008-0000-0200-000034000000}"/>
            </a:ext>
          </a:extLst>
        </xdr:cNvPr>
        <xdr:cNvSpPr txBox="1"/>
      </xdr:nvSpPr>
      <xdr:spPr>
        <a:xfrm>
          <a:off x="14249400" y="20031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0</xdr:col>
      <xdr:colOff>733766</xdr:colOff>
      <xdr:row>44</xdr:row>
      <xdr:rowOff>325551</xdr:rowOff>
    </xdr:from>
    <xdr:to>
      <xdr:col>18</xdr:col>
      <xdr:colOff>422038</xdr:colOff>
      <xdr:row>47</xdr:row>
      <xdr:rowOff>104527</xdr:rowOff>
    </xdr:to>
    <xdr:sp macro="" textlink="">
      <xdr:nvSpPr>
        <xdr:cNvPr id="57" name="Rectángulo redondeado 56">
          <a:extLst>
            <a:ext uri="{FF2B5EF4-FFF2-40B4-BE49-F238E27FC236}">
              <a16:creationId xmlns="" xmlns:a16="http://schemas.microsoft.com/office/drawing/2014/main" id="{00000000-0008-0000-0200-000039000000}"/>
            </a:ext>
          </a:extLst>
        </xdr:cNvPr>
        <xdr:cNvSpPr/>
      </xdr:nvSpPr>
      <xdr:spPr>
        <a:xfrm>
          <a:off x="733766" y="18442101"/>
          <a:ext cx="16166522" cy="1112476"/>
        </a:xfrm>
        <a:prstGeom prst="roundRect">
          <a:avLst/>
        </a:prstGeom>
        <a:solidFill>
          <a:schemeClr val="tx2">
            <a:lumMod val="75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1349830</xdr:colOff>
      <xdr:row>45</xdr:row>
      <xdr:rowOff>181315</xdr:rowOff>
    </xdr:from>
    <xdr:ext cx="14948649" cy="519544"/>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 xmlns:a16="http://schemas.microsoft.com/office/drawing/2014/main" id="{00000000-0008-0000-0200-00003E000000}"/>
                </a:ext>
              </a:extLst>
            </xdr:cNvPr>
            <xdr:cNvSpPr txBox="1"/>
          </xdr:nvSpPr>
          <xdr:spPr>
            <a:xfrm>
              <a:off x="1349830" y="18659815"/>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𝒕</m:t>
                      </m:r>
                    </m:sub>
                  </m:sSub>
                </m:oMath>
              </a14:m>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14:m>
                <m:oMath xmlns:m="http://schemas.openxmlformats.org/officeDocument/2006/math">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  </m:t>
                          </m:r>
                        </m:e>
                        <m:e>
                          <m:r>
                            <a:rPr lang="es-CO" sz="2800" b="1" i="1">
                              <a:solidFill>
                                <a:schemeClr val="bg1"/>
                              </a:solidFill>
                              <a:effectLst/>
                              <a:latin typeface="Cambria Math" panose="02040503050406030204" pitchFamily="18" charset="0"/>
                              <a:ea typeface="+mn-ea"/>
                              <a:cs typeface="+mn-cs"/>
                            </a:rPr>
                            <m:t> </m:t>
                          </m:r>
                        </m:e>
                      </m:eqArr>
                    </m:sub>
                  </m:sSub>
                  <m:d>
                    <m:dPr>
                      <m:begChr m:val="["/>
                      <m:endChr m:val="]"/>
                      <m:ctrlPr>
                        <a:rPr lang="es-CO" sz="2800" b="1" i="1">
                          <a:solidFill>
                            <a:schemeClr val="bg1"/>
                          </a:solidFill>
                          <a:effectLst/>
                          <a:latin typeface="Cambria Math" panose="02040503050406030204" pitchFamily="18" charset="0"/>
                          <a:ea typeface="+mn-ea"/>
                          <a:cs typeface="+mn-cs"/>
                        </a:rPr>
                      </m:ctrlPr>
                    </m:dPr>
                    <m:e>
                      <m:eqArr>
                        <m:eqArrPr>
                          <m:ctrlPr>
                            <a:rPr lang="es-CO" sz="2800" b="1" i="1">
                              <a:solidFill>
                                <a:schemeClr val="bg1"/>
                              </a:solidFill>
                              <a:effectLst/>
                              <a:latin typeface="Cambria Math" panose="02040503050406030204" pitchFamily="18" charset="0"/>
                              <a:ea typeface="+mn-ea"/>
                              <a:cs typeface="+mn-cs"/>
                            </a:rPr>
                          </m:ctrlPr>
                        </m:eqArrPr>
                        <m:e>
                          <m:r>
                            <a:rPr lang="es-CO" sz="2800" b="1" i="1">
                              <a:solidFill>
                                <a:schemeClr val="bg1"/>
                              </a:solidFill>
                              <a:effectLst/>
                              <a:latin typeface="Cambria Math" panose="02040503050406030204" pitchFamily="18" charset="0"/>
                              <a:ea typeface="+mn-ea"/>
                              <a:cs typeface="+mn-cs"/>
                            </a:rPr>
                            <m:t>𝟏</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𝑹𝒔</m:t>
                              </m:r>
                            </m:sub>
                          </m:sSub>
                        </m:e>
                      </m:eqArr>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𝟎</m:t>
                              </m:r>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 </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𝒓𝒔</m:t>
                              </m:r>
                            </m:sub>
                          </m:sSub>
                        </m:e>
                      </m:d>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𝜷</m:t>
                      </m:r>
                      <m:d>
                        <m:dPr>
                          <m:ctrlPr>
                            <a:rPr lang="es-CO" sz="2800" b="1" i="1">
                              <a:solidFill>
                                <a:schemeClr val="bg1"/>
                              </a:solidFill>
                              <a:effectLst/>
                              <a:latin typeface="Cambria Math" panose="02040503050406030204" pitchFamily="18" charset="0"/>
                              <a:ea typeface="+mn-ea"/>
                              <a:cs typeface="+mn-cs"/>
                            </a:rPr>
                          </m:ctrlPr>
                        </m:dPr>
                        <m:e>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𝒔𝒄𝒎</m:t>
                              </m:r>
                            </m:sub>
                          </m:sSub>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𝑹𝑺</m:t>
                              </m:r>
                            </m:sub>
                          </m:sSub>
                          <m:r>
                            <a:rPr lang="es-CO" sz="2800" b="1" i="1">
                              <a:solidFill>
                                <a:schemeClr val="bg1"/>
                              </a:solidFill>
                              <a:effectLst/>
                              <a:latin typeface="Cambria Math" panose="02040503050406030204" pitchFamily="18" charset="0"/>
                              <a:ea typeface="+mn-ea"/>
                              <a:cs typeface="+mn-cs"/>
                            </a:rPr>
                            <m:t> </m:t>
                          </m:r>
                        </m:e>
                      </m:d>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𝜸</m:t>
                          </m:r>
                        </m:e>
                        <m:sub>
                          <m:r>
                            <a:rPr lang="es-CO" sz="2800" b="1" i="1">
                              <a:solidFill>
                                <a:schemeClr val="bg1"/>
                              </a:solidFill>
                              <a:effectLst/>
                              <a:latin typeface="Cambria Math" panose="02040503050406030204" pitchFamily="18" charset="0"/>
                              <a:ea typeface="+mn-ea"/>
                              <a:cs typeface="+mn-cs"/>
                            </a:rPr>
                            <m:t>𝑺𝑪𝑴</m:t>
                          </m:r>
                        </m:sub>
                      </m:sSub>
                      <m:r>
                        <a:rPr lang="es-CO" sz="2800" b="1" i="1">
                          <a:solidFill>
                            <a:schemeClr val="bg1"/>
                          </a:solidFill>
                          <a:effectLst/>
                          <a:latin typeface="Cambria Math" panose="02040503050406030204" pitchFamily="18" charset="0"/>
                          <a:ea typeface="+mn-ea"/>
                          <a:cs typeface="+mn-cs"/>
                        </a:rPr>
                        <m:t> </m:t>
                      </m:r>
                      <m:d>
                        <m:dPr>
                          <m:ctrlPr>
                            <a:rPr lang="es-CO" sz="2800" b="1" i="1">
                              <a:solidFill>
                                <a:schemeClr val="bg1"/>
                              </a:solidFill>
                              <a:effectLst/>
                              <a:latin typeface="Cambria Math" panose="02040503050406030204" pitchFamily="18" charset="0"/>
                              <a:ea typeface="+mn-ea"/>
                              <a:cs typeface="+mn-cs"/>
                            </a:rPr>
                          </m:ctrlPr>
                        </m:dPr>
                        <m:e>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𝒕</m:t>
                          </m:r>
                          <m:r>
                            <a:rPr lang="es-CO" sz="2800" b="1" i="1">
                              <a:solidFill>
                                <a:schemeClr val="bg1"/>
                              </a:solidFill>
                              <a:effectLst/>
                              <a:latin typeface="Cambria Math" panose="02040503050406030204" pitchFamily="18" charset="0"/>
                              <a:ea typeface="+mn-ea"/>
                              <a:cs typeface="+mn-cs"/>
                            </a:rPr>
                            <m:t>−</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𝒕</m:t>
                              </m:r>
                            </m:e>
                            <m:sub>
                              <m:r>
                                <a:rPr lang="es-CO" sz="2800" b="1" i="1">
                                  <a:solidFill>
                                    <a:schemeClr val="bg1"/>
                                  </a:solidFill>
                                  <a:effectLst/>
                                  <a:latin typeface="Cambria Math" panose="02040503050406030204" pitchFamily="18" charset="0"/>
                                  <a:ea typeface="+mn-ea"/>
                                  <a:cs typeface="+mn-cs"/>
                                </a:rPr>
                                <m:t>𝑺𝑪𝑴</m:t>
                              </m:r>
                            </m:sub>
                          </m:sSub>
                        </m:e>
                      </m:d>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𝒎𝒆𝒏</m:t>
                          </m:r>
                        </m:sub>
                      </m:sSub>
                      <m:r>
                        <a:rPr lang="es-CO" sz="2800" b="1" i="1">
                          <a:solidFill>
                            <a:schemeClr val="bg1"/>
                          </a:solidFill>
                          <a:effectLst/>
                          <a:latin typeface="Cambria Math" panose="02040503050406030204" pitchFamily="18" charset="0"/>
                          <a:ea typeface="+mn-ea"/>
                          <a:cs typeface="+mn-cs"/>
                        </a:rPr>
                        <m:t>+ </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𝒓𝒆𝒑</m:t>
                          </m:r>
                        </m:sub>
                      </m:sSub>
                      <m:r>
                        <a:rPr lang="es-CO" sz="2800" b="1" i="1">
                          <a:solidFill>
                            <a:schemeClr val="bg1"/>
                          </a:solidFill>
                          <a:effectLst/>
                          <a:latin typeface="Cambria Math" panose="02040503050406030204" pitchFamily="18" charset="0"/>
                          <a:ea typeface="+mn-ea"/>
                          <a:cs typeface="+mn-cs"/>
                        </a:rPr>
                        <m:t>+</m:t>
                      </m:r>
                      <m:r>
                        <a:rPr lang="es-CO" sz="2800" b="1" i="1">
                          <a:solidFill>
                            <a:schemeClr val="bg1"/>
                          </a:solidFill>
                          <a:effectLst/>
                          <a:latin typeface="Cambria Math" panose="02040503050406030204" pitchFamily="18" charset="0"/>
                          <a:ea typeface="+mn-ea"/>
                          <a:cs typeface="+mn-cs"/>
                        </a:rPr>
                        <m:t>𝜹</m:t>
                      </m:r>
                      <m:sSub>
                        <m:sSubPr>
                          <m:ctrlPr>
                            <a:rPr lang="es-CO" sz="2800" b="1" i="1">
                              <a:solidFill>
                                <a:schemeClr val="bg1"/>
                              </a:solidFill>
                              <a:effectLst/>
                              <a:latin typeface="Cambria Math" panose="02040503050406030204" pitchFamily="18" charset="0"/>
                              <a:ea typeface="+mn-ea"/>
                              <a:cs typeface="+mn-cs"/>
                            </a:rPr>
                          </m:ctrlPr>
                        </m:sSubPr>
                        <m:e>
                          <m:r>
                            <a:rPr lang="es-CO" sz="2800" b="1" i="1">
                              <a:solidFill>
                                <a:schemeClr val="bg1"/>
                              </a:solidFill>
                              <a:effectLst/>
                              <a:latin typeface="Cambria Math" panose="02040503050406030204" pitchFamily="18" charset="0"/>
                              <a:ea typeface="+mn-ea"/>
                              <a:cs typeface="+mn-cs"/>
                            </a:rPr>
                            <m:t>𝑽</m:t>
                          </m:r>
                        </m:e>
                        <m:sub>
                          <m:r>
                            <a:rPr lang="es-CO" sz="2800" b="1" i="1">
                              <a:solidFill>
                                <a:schemeClr val="bg1"/>
                              </a:solidFill>
                              <a:effectLst/>
                              <a:latin typeface="Cambria Math" panose="02040503050406030204" pitchFamily="18" charset="0"/>
                              <a:ea typeface="+mn-ea"/>
                              <a:cs typeface="+mn-cs"/>
                            </a:rPr>
                            <m:t>𝒂𝒅𝒅</m:t>
                          </m:r>
                        </m:sub>
                      </m:sSub>
                      <m:r>
                        <a:rPr lang="es-CO" sz="2800" b="1" i="1">
                          <a:solidFill>
                            <a:schemeClr val="bg1"/>
                          </a:solidFill>
                          <a:effectLst/>
                          <a:latin typeface="Cambria Math" panose="02040503050406030204" pitchFamily="18" charset="0"/>
                          <a:ea typeface="+mn-ea"/>
                          <a:cs typeface="+mn-cs"/>
                        </a:rPr>
                        <m:t> </m:t>
                      </m:r>
                    </m:e>
                  </m:d>
                </m:oMath>
              </a14:m>
              <a:endParaRPr lang="es-CO" sz="2800">
                <a:solidFill>
                  <a:schemeClr val="bg1"/>
                </a:solidFill>
              </a:endParaRPr>
            </a:p>
          </xdr:txBody>
        </xdr:sp>
      </mc:Choice>
      <mc:Fallback xmlns="">
        <xdr:sp macro="" textlink="">
          <xdr:nvSpPr>
            <xdr:cNvPr id="62" name="CuadroTexto 61"/>
            <xdr:cNvSpPr txBox="1"/>
          </xdr:nvSpPr>
          <xdr:spPr>
            <a:xfrm>
              <a:off x="1349830" y="18659815"/>
              <a:ext cx="14948649" cy="519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lang="es-CO" sz="2800" b="1" i="0">
                  <a:solidFill>
                    <a:schemeClr val="bg1"/>
                  </a:solidFill>
                  <a:effectLst/>
                  <a:latin typeface="Cambria Math" panose="02040503050406030204" pitchFamily="18" charset="0"/>
                  <a:ea typeface="+mn-ea"/>
                  <a:cs typeface="+mn-cs"/>
                </a:rPr>
                <a:t>𝑽_𝒕</a:t>
              </a:r>
              <a:r>
                <a:rPr lang="es-CO" sz="2800" b="1" i="1">
                  <a:solidFill>
                    <a:schemeClr val="bg1"/>
                  </a:solidFill>
                  <a:effectLst/>
                  <a:latin typeface="+mn-lt"/>
                  <a:ea typeface="+mn-ea"/>
                  <a:cs typeface="+mn-cs"/>
                </a:rPr>
                <a:t>=</a:t>
              </a:r>
              <a:r>
                <a:rPr lang="es-CO" sz="2800" b="1" i="1" baseline="0">
                  <a:solidFill>
                    <a:schemeClr val="bg1"/>
                  </a:solidFill>
                  <a:effectLst/>
                  <a:latin typeface="+mn-lt"/>
                  <a:ea typeface="+mn-ea"/>
                  <a:cs typeface="+mn-cs"/>
                </a:rPr>
                <a:t> </a:t>
              </a:r>
              <a:r>
                <a:rPr lang="es-CO" sz="2800" b="1" i="0">
                  <a:solidFill>
                    <a:schemeClr val="bg1"/>
                  </a:solidFill>
                  <a:effectLst/>
                  <a:latin typeface="Cambria Math" panose="02040503050406030204" pitchFamily="18" charset="0"/>
                  <a:ea typeface="+mn-ea"/>
                  <a:cs typeface="+mn-cs"/>
                </a:rPr>
                <a:t>𝑽_█(𝟎  @ ) [█(𝟏−𝜸_𝑹𝒔 ) (𝒕_𝟎𝑹𝑺  − 𝒕_𝒓𝒔 )+𝜷(𝒕_𝒔𝒄𝒎−𝒕_𝑹𝑺  )+𝜸_𝑺𝑪𝑴  ( 𝒕−𝒕_𝑺𝑪𝑴 )]   +𝜹𝑽_𝒎𝒆𝒏+ 𝜹𝑽_𝒓𝒆𝒑+𝜹𝑽_𝒂𝒅𝒅  ]</a:t>
              </a:r>
              <a:endParaRPr lang="es-CO" sz="2800">
                <a:solidFill>
                  <a:schemeClr val="bg1"/>
                </a:solidFill>
              </a:endParaRPr>
            </a:p>
          </xdr:txBody>
        </xdr:sp>
      </mc:Fallback>
    </mc:AlternateContent>
    <xdr:clientData/>
  </xdr:oneCellAnchor>
  <xdr:oneCellAnchor>
    <xdr:from>
      <xdr:col>6</xdr:col>
      <xdr:colOff>224472</xdr:colOff>
      <xdr:row>62</xdr:row>
      <xdr:rowOff>37084</xdr:rowOff>
    </xdr:from>
    <xdr:ext cx="1810415" cy="401066"/>
    <mc:AlternateContent xmlns:mc="http://schemas.openxmlformats.org/markup-compatibility/2006" xmlns:a14="http://schemas.microsoft.com/office/drawing/2010/main">
      <mc:Choice Requires="a14">
        <xdr:sp macro="" textlink="">
          <xdr:nvSpPr>
            <xdr:cNvPr id="65" name="CuadroTexto 64">
              <a:extLst>
                <a:ext uri="{FF2B5EF4-FFF2-40B4-BE49-F238E27FC236}">
                  <a16:creationId xmlns="" xmlns:a16="http://schemas.microsoft.com/office/drawing/2014/main" id="{00000000-0008-0000-0200-000041000000}"/>
                </a:ext>
              </a:extLst>
            </xdr:cNvPr>
            <xdr:cNvSpPr txBox="1"/>
          </xdr:nvSpPr>
          <xdr:spPr>
            <a:xfrm>
              <a:off x="6501447" y="2517355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5" name="CuadroTexto 64"/>
            <xdr:cNvSpPr txBox="1"/>
          </xdr:nvSpPr>
          <xdr:spPr>
            <a:xfrm>
              <a:off x="6501447" y="25173559"/>
              <a:ext cx="1810415"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𝝏𝑽𝒕/𝝏𝒕𝑹𝑺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−𝜷)]</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306017</xdr:colOff>
      <xdr:row>63</xdr:row>
      <xdr:rowOff>371475</xdr:rowOff>
    </xdr:from>
    <xdr:ext cx="1702892" cy="461594"/>
    <mc:AlternateContent xmlns:mc="http://schemas.openxmlformats.org/markup-compatibility/2006" xmlns:a14="http://schemas.microsoft.com/office/drawing/2010/main">
      <mc:Choice Requires="a14">
        <xdr:sp macro="" textlink="">
          <xdr:nvSpPr>
            <xdr:cNvPr id="66" name="CuadroTexto 65">
              <a:extLst>
                <a:ext uri="{FF2B5EF4-FFF2-40B4-BE49-F238E27FC236}">
                  <a16:creationId xmlns="" xmlns:a16="http://schemas.microsoft.com/office/drawing/2014/main" id="{00000000-0008-0000-0200-000042000000}"/>
                </a:ext>
              </a:extLst>
            </xdr:cNvPr>
            <xdr:cNvSpPr txBox="1"/>
          </xdr:nvSpPr>
          <xdr:spPr>
            <a:xfrm>
              <a:off x="6582992" y="2556510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m:t>
                        </m:r>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ea typeface="Cambria Math" panose="02040503050406030204" pitchFamily="18" charset="0"/>
                      </a:rPr>
                      <m:t>𝜷</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6" name="CuadroTexto 65"/>
            <xdr:cNvSpPr txBox="1"/>
          </xdr:nvSpPr>
          <xdr:spPr>
            <a:xfrm>
              <a:off x="6582992" y="25565100"/>
              <a:ext cx="1702892" cy="461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a:t>
              </a:r>
              <a:r>
                <a:rPr lang="es-CO" sz="1200" b="1" i="0">
                  <a:latin typeface="Cambria Math" panose="02040503050406030204" pitchFamily="18" charset="0"/>
                  <a:ea typeface="Cambria Math" panose="02040503050406030204" pitchFamily="18" charset="0"/>
                </a:rPr>
                <a:t>𝜷−𝜸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269953</xdr:colOff>
      <xdr:row>66</xdr:row>
      <xdr:rowOff>12152</xdr:rowOff>
    </xdr:from>
    <xdr:ext cx="1894821" cy="444221"/>
    <mc:AlternateContent xmlns:mc="http://schemas.openxmlformats.org/markup-compatibility/2006" xmlns:a14="http://schemas.microsoft.com/office/drawing/2010/main">
      <mc:Choice Requires="a14">
        <xdr:sp macro="" textlink="">
          <xdr:nvSpPr>
            <xdr:cNvPr id="67" name="CuadroTexto 66">
              <a:extLst>
                <a:ext uri="{FF2B5EF4-FFF2-40B4-BE49-F238E27FC236}">
                  <a16:creationId xmlns="" xmlns:a16="http://schemas.microsoft.com/office/drawing/2014/main" id="{00000000-0008-0000-0200-000043000000}"/>
                </a:ext>
              </a:extLst>
            </xdr:cNvPr>
            <xdr:cNvSpPr txBox="1"/>
          </xdr:nvSpPr>
          <xdr:spPr>
            <a:xfrm>
              <a:off x="6546928" y="2602492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𝑹𝑺</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baseline="-25000">
                        <a:latin typeface="Cambria Math" panose="02040503050406030204" pitchFamily="18" charset="0"/>
                      </a:rPr>
                      <m:t>𝟎</m:t>
                    </m:r>
                    <m:r>
                      <a:rPr lang="es-CO" sz="1200" b="1" i="1" baseline="-25000">
                        <a:latin typeface="Cambria Math" panose="02040503050406030204" pitchFamily="18" charset="0"/>
                        <a:ea typeface="Cambria Math" panose="02040503050406030204" pitchFamily="18" charset="0"/>
                      </a:rPr>
                      <m:t>𝑹𝑺</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m:t>
                    </m:r>
                    <m:r>
                      <a:rPr lang="es-CO" sz="1100" b="1" i="1" baseline="-25000">
                        <a:solidFill>
                          <a:schemeClr val="tx1"/>
                        </a:solidFill>
                        <a:effectLst/>
                        <a:latin typeface="Cambria Math" panose="02040503050406030204" pitchFamily="18" charset="0"/>
                        <a:ea typeface="+mn-ea"/>
                        <a:cs typeface="+mn-cs"/>
                      </a:rPr>
                      <m:t>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7" name="CuadroTexto 66"/>
            <xdr:cNvSpPr txBox="1"/>
          </xdr:nvSpPr>
          <xdr:spPr>
            <a:xfrm>
              <a:off x="6546928" y="26024927"/>
              <a:ext cx="1894821" cy="444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baseline="-25000">
                  <a:latin typeface="Cambria Math" panose="02040503050406030204" pitchFamily="18" charset="0"/>
                </a:rPr>
                <a:t>𝟎</a:t>
              </a:r>
              <a:r>
                <a:rPr lang="es-CO" sz="1200" b="1" i="0" baseline="-25000">
                  <a:latin typeface="Cambria Math" panose="02040503050406030204" pitchFamily="18" charset="0"/>
                  <a:ea typeface="Cambria Math" panose="02040503050406030204" pitchFamily="18" charset="0"/>
                </a:rPr>
                <a:t>𝑹𝑺</a:t>
              </a:r>
              <a:r>
                <a:rPr lang="es-CO" sz="1200" b="1" i="0">
                  <a:latin typeface="Cambria Math" panose="02040503050406030204" pitchFamily="18" charset="0"/>
                  <a:ea typeface="Cambria Math" panose="02040503050406030204" pitchFamily="18" charset="0"/>
                </a:rPr>
                <a:t>−𝒕</a:t>
              </a:r>
              <a:r>
                <a:rPr lang="es-CO" sz="1100" b="1" i="0" baseline="-25000">
                  <a:solidFill>
                    <a:schemeClr val="tx1"/>
                  </a:solidFill>
                  <a:effectLst/>
                  <a:latin typeface="Cambria Math" panose="02040503050406030204" pitchFamily="18" charset="0"/>
                  <a:ea typeface="+mn-ea"/>
                  <a:cs typeface="+mn-cs"/>
                </a:rPr>
                <a:t>𝑹𝑺</a:t>
              </a:r>
              <a:r>
                <a:rPr lang="es-CO" sz="1200" b="1" i="0">
                  <a:latin typeface="Cambria Math" panose="02040503050406030204" pitchFamily="18" charset="0"/>
                  <a:ea typeface="Cambria Math" panose="02040503050406030204" pitchFamily="18" charset="0"/>
                </a:rPr>
                <a:t>)]</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228469</xdr:colOff>
      <xdr:row>68</xdr:row>
      <xdr:rowOff>28575</xdr:rowOff>
    </xdr:from>
    <xdr:ext cx="1800356" cy="420794"/>
    <mc:AlternateContent xmlns:mc="http://schemas.openxmlformats.org/markup-compatibility/2006" xmlns:a14="http://schemas.microsoft.com/office/drawing/2010/main">
      <mc:Choice Requires="a14">
        <xdr:sp macro="" textlink="">
          <xdr:nvSpPr>
            <xdr:cNvPr id="68" name="CuadroTexto 67">
              <a:extLst>
                <a:ext uri="{FF2B5EF4-FFF2-40B4-BE49-F238E27FC236}">
                  <a16:creationId xmlns="" xmlns:a16="http://schemas.microsoft.com/office/drawing/2014/main" id="{00000000-0008-0000-0200-000044000000}"/>
                </a:ext>
              </a:extLst>
            </xdr:cNvPr>
            <xdr:cNvSpPr txBox="1"/>
          </xdr:nvSpPr>
          <xdr:spPr>
            <a:xfrm>
              <a:off x="6505444" y="2647950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𝝏𝜸</m:t>
                        </m:r>
                        <m:r>
                          <a:rPr lang="es-CO" sz="1200" b="1" i="1" baseline="-25000">
                            <a:latin typeface="Cambria Math" panose="02040503050406030204" pitchFamily="18" charset="0"/>
                            <a:ea typeface="Cambria Math" panose="02040503050406030204" pitchFamily="18" charset="0"/>
                          </a:rPr>
                          <m:t>𝑺𝑪𝑴</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8" name="CuadroTexto 67"/>
            <xdr:cNvSpPr txBox="1"/>
          </xdr:nvSpPr>
          <xdr:spPr>
            <a:xfrm>
              <a:off x="6505444" y="26479500"/>
              <a:ext cx="1800356" cy="420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𝝏𝑽𝒕/𝝏𝜸</a:t>
              </a:r>
              <a:r>
                <a:rPr lang="es-CO" sz="1200" b="1" i="0" baseline="-25000">
                  <a:latin typeface="Cambria Math" panose="02040503050406030204" pitchFamily="18" charset="0"/>
                  <a:ea typeface="Cambria Math" panose="02040503050406030204" pitchFamily="18" charset="0"/>
                </a:rPr>
                <a:t>𝑺𝑪𝑴</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a:t>
              </a:r>
              <a:r>
                <a:rPr lang="es-CO" sz="1200" b="1" i="0">
                  <a:latin typeface="Cambria Math" panose="02040503050406030204" pitchFamily="18" charset="0"/>
                  <a:ea typeface="Cambria Math" panose="02040503050406030204" pitchFamily="18" charset="0"/>
                </a:rPr>
                <a:t>−𝒕𝑺𝑪𝑴)]</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6</xdr:col>
      <xdr:colOff>180975</xdr:colOff>
      <xdr:row>70</xdr:row>
      <xdr:rowOff>38034</xdr:rowOff>
    </xdr:from>
    <xdr:ext cx="2019300" cy="411878"/>
    <mc:AlternateContent xmlns:mc="http://schemas.openxmlformats.org/markup-compatibility/2006" xmlns:a14="http://schemas.microsoft.com/office/drawing/2010/main">
      <mc:Choice Requires="a14">
        <xdr:sp macro="" textlink="">
          <xdr:nvSpPr>
            <xdr:cNvPr id="69" name="CuadroTexto 68">
              <a:extLst>
                <a:ext uri="{FF2B5EF4-FFF2-40B4-BE49-F238E27FC236}">
                  <a16:creationId xmlns="" xmlns:a16="http://schemas.microsoft.com/office/drawing/2014/main" id="{00000000-0008-0000-0200-000045000000}"/>
                </a:ext>
              </a:extLst>
            </xdr:cNvPr>
            <xdr:cNvSpPr txBox="1"/>
          </xdr:nvSpPr>
          <xdr:spPr>
            <a:xfrm>
              <a:off x="6457950" y="2692710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200" b="1" i="1">
                            <a:latin typeface="Cambria Math" panose="02040503050406030204" pitchFamily="18" charset="0"/>
                          </a:rPr>
                        </m:ctrlPr>
                      </m:fPr>
                      <m:num>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𝑽𝒕</m:t>
                        </m:r>
                      </m:num>
                      <m:den>
                        <m:r>
                          <a:rPr lang="es-CO" sz="1200" b="1" i="1">
                            <a:latin typeface="Cambria Math" panose="02040503050406030204" pitchFamily="18" charset="0"/>
                            <a:ea typeface="Cambria Math" panose="02040503050406030204" pitchFamily="18" charset="0"/>
                          </a:rPr>
                          <m:t>𝝏𝜷</m:t>
                        </m:r>
                      </m:den>
                    </m:f>
                    <m:r>
                      <a:rPr lang="es-CO" sz="1200" b="1" i="1">
                        <a:latin typeface="Cambria Math" panose="02040503050406030204" pitchFamily="18" charset="0"/>
                      </a:rPr>
                      <m:t>=[</m:t>
                    </m:r>
                    <m:r>
                      <a:rPr lang="es-CO" sz="1200" b="1" i="1">
                        <a:latin typeface="Cambria Math" panose="02040503050406030204" pitchFamily="18" charset="0"/>
                      </a:rPr>
                      <m:t>𝑽</m:t>
                    </m:r>
                    <m:r>
                      <a:rPr lang="es-CO" sz="1200" b="1" i="1" baseline="-25000">
                        <a:latin typeface="Cambria Math" panose="02040503050406030204" pitchFamily="18" charset="0"/>
                      </a:rPr>
                      <m:t>𝟎</m:t>
                    </m:r>
                    <m:r>
                      <a:rPr lang="es-CO" sz="1200" b="1" i="1">
                        <a:latin typeface="Cambria Math" panose="02040503050406030204" pitchFamily="18" charset="0"/>
                      </a:rPr>
                      <m:t>∗(</m:t>
                    </m:r>
                    <m:r>
                      <a:rPr lang="es-CO" sz="1200" b="1" i="1">
                        <a:latin typeface="Cambria Math" panose="02040503050406030204" pitchFamily="18" charset="0"/>
                      </a:rPr>
                      <m:t>𝒕𝑺𝑪𝑴</m:t>
                    </m:r>
                    <m:r>
                      <a:rPr lang="es-CO" sz="1200" b="1" i="1">
                        <a:latin typeface="Cambria Math" panose="02040503050406030204" pitchFamily="18" charset="0"/>
                        <a:ea typeface="Cambria Math" panose="02040503050406030204" pitchFamily="18" charset="0"/>
                      </a:rPr>
                      <m:t>−</m:t>
                    </m:r>
                    <m:r>
                      <a:rPr lang="es-CO" sz="1200" b="1" i="1">
                        <a:latin typeface="Cambria Math" panose="02040503050406030204" pitchFamily="18" charset="0"/>
                        <a:ea typeface="Cambria Math" panose="02040503050406030204" pitchFamily="18" charset="0"/>
                      </a:rPr>
                      <m:t>𝒕𝑹𝑺</m:t>
                    </m:r>
                    <m:r>
                      <a:rPr lang="es-CO" sz="1200" b="1" i="1">
                        <a:latin typeface="Cambria Math" panose="02040503050406030204" pitchFamily="18" charset="0"/>
                        <a:ea typeface="Cambria Math" panose="02040503050406030204" pitchFamily="18" charset="0"/>
                      </a:rPr>
                      <m:t>)]</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69" name="CuadroTexto 68"/>
            <xdr:cNvSpPr txBox="1"/>
          </xdr:nvSpPr>
          <xdr:spPr>
            <a:xfrm>
              <a:off x="6457950" y="26927109"/>
              <a:ext cx="2019300" cy="411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200" b="1" i="0">
                  <a:latin typeface="Cambria Math" panose="02040503050406030204" pitchFamily="18" charset="0"/>
                  <a:ea typeface="Cambria Math" panose="02040503050406030204" pitchFamily="18" charset="0"/>
                </a:rPr>
                <a:t>𝝏𝑽𝒕/𝝏𝜷</a:t>
              </a:r>
              <a:r>
                <a:rPr lang="es-CO" sz="1200" b="1" i="0">
                  <a:latin typeface="Cambria Math" panose="02040503050406030204" pitchFamily="18" charset="0"/>
                </a:rPr>
                <a:t>=[𝑽</a:t>
              </a:r>
              <a:r>
                <a:rPr lang="es-CO" sz="1200" b="1" i="0" baseline="-25000">
                  <a:latin typeface="Cambria Math" panose="02040503050406030204" pitchFamily="18" charset="0"/>
                </a:rPr>
                <a:t>𝟎</a:t>
              </a:r>
              <a:r>
                <a:rPr lang="es-CO" sz="1200" b="1" i="0">
                  <a:latin typeface="Cambria Math" panose="02040503050406030204" pitchFamily="18" charset="0"/>
                </a:rPr>
                <a:t>∗(𝒕𝑺𝑪𝑴</a:t>
              </a:r>
              <a:r>
                <a:rPr lang="es-CO" sz="1200" b="1" i="0">
                  <a:latin typeface="Cambria Math" panose="02040503050406030204" pitchFamily="18" charset="0"/>
                  <a:ea typeface="Cambria Math" panose="02040503050406030204" pitchFamily="18" charset="0"/>
                </a:rPr>
                <a:t>−𝒕𝑹𝑺)]</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322117</xdr:colOff>
      <xdr:row>61</xdr:row>
      <xdr:rowOff>15585</xdr:rowOff>
    </xdr:from>
    <xdr:ext cx="4533485" cy="366280"/>
    <mc:AlternateContent xmlns:mc="http://schemas.openxmlformats.org/markup-compatibility/2006" xmlns:a14="http://schemas.microsoft.com/office/drawing/2010/main">
      <mc:Choice Requires="a14">
        <xdr:sp macro="" textlink="">
          <xdr:nvSpPr>
            <xdr:cNvPr id="73" name="CuadroTexto 72">
              <a:extLst>
                <a:ext uri="{FF2B5EF4-FFF2-40B4-BE49-F238E27FC236}">
                  <a16:creationId xmlns="" xmlns:a16="http://schemas.microsoft.com/office/drawing/2014/main" id="{00000000-0008-0000-0200-000049000000}"/>
                </a:ext>
              </a:extLst>
            </xdr:cNvPr>
            <xdr:cNvSpPr txBox="1"/>
          </xdr:nvSpPr>
          <xdr:spPr>
            <a:xfrm>
              <a:off x="4770292" y="2477106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𝑽𝒕</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r>
                          <a:rPr lang="es-CO" sz="1100" b="1" i="1" baseline="-25000">
                            <a:solidFill>
                              <a:schemeClr val="tx1"/>
                            </a:solidFill>
                            <a:effectLst/>
                            <a:latin typeface="Cambria Math" panose="02040503050406030204" pitchFamily="18" charset="0"/>
                            <a:ea typeface="+mn-ea"/>
                            <a:cs typeface="+mn-cs"/>
                          </a:rPr>
                          <m:t>𝟎</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𝟎</m:t>
                        </m:r>
                        <m:r>
                          <a:rPr lang="es-CO" sz="1100" b="1" i="1" baseline="-25000">
                            <a:solidFill>
                              <a:schemeClr val="tx1"/>
                            </a:solidFill>
                            <a:effectLst/>
                            <a:latin typeface="Cambria Math" panose="02040503050406030204" pitchFamily="18" charset="0"/>
                            <a:ea typeface="+mn-ea"/>
                            <a:cs typeface="+mn-cs"/>
                          </a:rPr>
                          <m:t>𝑹𝑺</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𝜷</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𝒕𝑹𝑺</m:t>
                        </m:r>
                      </m:e>
                    </m:d>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𝜸</m:t>
                    </m:r>
                    <m:r>
                      <a:rPr lang="es-CO" sz="1100" b="1" i="1" baseline="-25000">
                        <a:solidFill>
                          <a:schemeClr val="tx1"/>
                        </a:solidFill>
                        <a:effectLst/>
                        <a:latin typeface="Cambria Math" panose="02040503050406030204" pitchFamily="18" charset="0"/>
                        <a:ea typeface="+mn-ea"/>
                        <a:cs typeface="+mn-cs"/>
                      </a:rPr>
                      <m:t>𝑺𝑪𝑴</m:t>
                    </m:r>
                    <m:r>
                      <a:rPr lang="es-CO" sz="1100" b="1" i="1">
                        <a:solidFill>
                          <a:schemeClr val="tx1"/>
                        </a:solidFill>
                        <a:effectLst/>
                        <a:latin typeface="Cambria Math" panose="02040503050406030204" pitchFamily="18" charset="0"/>
                        <a:ea typeface="+mn-ea"/>
                        <a:cs typeface="+mn-cs"/>
                      </a:rPr>
                      <m:t>∗</m:t>
                    </m:r>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𝒕</m:t>
                        </m:r>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𝒕𝑺𝑪𝑴</m:t>
                        </m:r>
                      </m:e>
                    </m:d>
                    <m:r>
                      <a:rPr lang="es-CO" sz="1100" b="1" i="1">
                        <a:solidFill>
                          <a:schemeClr val="tx1"/>
                        </a:solidFill>
                        <a:effectLst/>
                        <a:latin typeface="Cambria Math" panose="02040503050406030204" pitchFamily="18" charset="0"/>
                        <a:ea typeface="+mn-ea"/>
                        <a:cs typeface="+mn-cs"/>
                      </a:rPr>
                      <m:t>]</m:t>
                    </m:r>
                  </m:oMath>
                </m:oMathPara>
              </a14:m>
              <a:endParaRPr lang="es-CO">
                <a:effectLst/>
              </a:endParaRPr>
            </a:p>
            <a:p>
              <a:endParaRPr lang="es-CO" sz="1100"/>
            </a:p>
          </xdr:txBody>
        </xdr:sp>
      </mc:Choice>
      <mc:Fallback xmlns="">
        <xdr:sp macro="" textlink="">
          <xdr:nvSpPr>
            <xdr:cNvPr id="73" name="CuadroTexto 72"/>
            <xdr:cNvSpPr txBox="1"/>
          </xdr:nvSpPr>
          <xdr:spPr>
            <a:xfrm>
              <a:off x="4770292" y="24771060"/>
              <a:ext cx="4533485" cy="366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𝝏𝑽𝒕/𝝏𝑽</a:t>
              </a:r>
              <a:r>
                <a:rPr lang="es-CO" sz="1100" b="1" i="0" baseline="-25000">
                  <a:solidFill>
                    <a:schemeClr val="tx1"/>
                  </a:solidFill>
                  <a:effectLst/>
                  <a:latin typeface="Cambria Math" panose="02040503050406030204" pitchFamily="18" charset="0"/>
                  <a:ea typeface="+mn-ea"/>
                  <a:cs typeface="+mn-cs"/>
                </a:rPr>
                <a:t>𝟎</a:t>
              </a:r>
              <a:r>
                <a:rPr lang="es-CO" sz="1100" b="1" i="0">
                  <a:solidFill>
                    <a:schemeClr val="tx1"/>
                  </a:solidFill>
                  <a:effectLst/>
                  <a:latin typeface="Cambria Math" panose="02040503050406030204" pitchFamily="18" charset="0"/>
                  <a:ea typeface="+mn-ea"/>
                  <a:cs typeface="+mn-cs"/>
                </a:rPr>
                <a:t>=[𝟏−𝜸</a:t>
              </a:r>
              <a:r>
                <a:rPr lang="es-CO" sz="1100" b="1" i="0" baseline="-25000">
                  <a:solidFill>
                    <a:schemeClr val="tx1"/>
                  </a:solidFill>
                  <a:effectLst/>
                  <a:latin typeface="Cambria Math" panose="02040503050406030204" pitchFamily="18" charset="0"/>
                  <a:ea typeface="+mn-ea"/>
                  <a:cs typeface="+mn-cs"/>
                </a:rPr>
                <a:t>𝑹𝑺</a:t>
              </a:r>
              <a:r>
                <a:rPr lang="es-CO" sz="1100" b="1" i="0">
                  <a:solidFill>
                    <a:schemeClr val="tx1"/>
                  </a:solidFill>
                  <a:effectLst/>
                  <a:latin typeface="Cambria Math" panose="02040503050406030204" pitchFamily="18" charset="0"/>
                  <a:ea typeface="+mn-ea"/>
                  <a:cs typeface="+mn-cs"/>
                </a:rPr>
                <a:t>∗(𝒕</a:t>
              </a:r>
              <a:r>
                <a:rPr lang="es-CO" sz="1100" b="1" i="0" baseline="-25000">
                  <a:solidFill>
                    <a:schemeClr val="tx1"/>
                  </a:solidFill>
                  <a:effectLst/>
                  <a:latin typeface="Cambria Math" panose="02040503050406030204" pitchFamily="18" charset="0"/>
                  <a:ea typeface="+mn-ea"/>
                  <a:cs typeface="+mn-cs"/>
                </a:rPr>
                <a:t>𝟎𝑹𝑺</a:t>
              </a:r>
              <a:r>
                <a:rPr lang="es-CO" sz="1100" b="1" i="0">
                  <a:solidFill>
                    <a:schemeClr val="tx1"/>
                  </a:solidFill>
                  <a:effectLst/>
                  <a:latin typeface="Cambria Math" panose="02040503050406030204" pitchFamily="18" charset="0"/>
                  <a:ea typeface="+mn-ea"/>
                  <a:cs typeface="+mn-cs"/>
                </a:rPr>
                <a:t>−𝒕𝑹𝑺)+𝜷∗(𝒕</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−𝒕𝑹𝑺)+𝜸</a:t>
              </a:r>
              <a:r>
                <a:rPr lang="es-CO" sz="1100" b="1" i="0" baseline="-25000">
                  <a:solidFill>
                    <a:schemeClr val="tx1"/>
                  </a:solidFill>
                  <a:effectLst/>
                  <a:latin typeface="Cambria Math" panose="02040503050406030204" pitchFamily="18" charset="0"/>
                  <a:ea typeface="+mn-ea"/>
                  <a:cs typeface="+mn-cs"/>
                </a:rPr>
                <a:t>𝑺𝑪𝑴</a:t>
              </a:r>
              <a:r>
                <a:rPr lang="es-CO" sz="1100" b="1" i="0">
                  <a:solidFill>
                    <a:schemeClr val="tx1"/>
                  </a:solidFill>
                  <a:effectLst/>
                  <a:latin typeface="Cambria Math" panose="02040503050406030204" pitchFamily="18" charset="0"/>
                  <a:ea typeface="+mn-ea"/>
                  <a:cs typeface="+mn-cs"/>
                </a:rPr>
                <a:t>∗(𝒕−𝒕𝑺𝑪𝑴)]</a:t>
              </a:r>
              <a:endParaRPr lang="es-CO">
                <a:effectLst/>
              </a:endParaRPr>
            </a:p>
            <a:p>
              <a:endParaRPr lang="es-CO" sz="1100"/>
            </a:p>
          </xdr:txBody>
        </xdr:sp>
      </mc:Fallback>
    </mc:AlternateContent>
    <xdr:clientData/>
  </xdr:oneCellAnchor>
  <xdr:oneCellAnchor>
    <xdr:from>
      <xdr:col>10</xdr:col>
      <xdr:colOff>357716</xdr:colOff>
      <xdr:row>49</xdr:row>
      <xdr:rowOff>66675</xdr:rowOff>
    </xdr:from>
    <xdr:ext cx="277284" cy="176741"/>
    <mc:AlternateContent xmlns:mc="http://schemas.openxmlformats.org/markup-compatibility/2006" xmlns:a14="http://schemas.microsoft.com/office/drawing/2010/main">
      <mc:Choice Requires="a14">
        <xdr:sp macro="" textlink="">
          <xdr:nvSpPr>
            <xdr:cNvPr id="74" name="CuadroTexto 73">
              <a:extLst>
                <a:ext uri="{FF2B5EF4-FFF2-40B4-BE49-F238E27FC236}">
                  <a16:creationId xmlns="" xmlns:a16="http://schemas.microsoft.com/office/drawing/2014/main" id="{00000000-0008-0000-0200-00004A000000}"/>
                </a:ext>
              </a:extLst>
            </xdr:cNvPr>
            <xdr:cNvSpPr txBox="1"/>
          </xdr:nvSpPr>
          <xdr:spPr>
            <a:xfrm>
              <a:off x="10558991" y="2019300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400" i="1">
                        <a:latin typeface="Cambria Math" panose="02040503050406030204" pitchFamily="18" charset="0"/>
                        <a:ea typeface="Cambria Math" panose="02040503050406030204" pitchFamily="18" charset="0"/>
                      </a:rPr>
                      <m:t>𝛽</m:t>
                    </m:r>
                  </m:oMath>
                </m:oMathPara>
              </a14:m>
              <a:endParaRPr lang="es-CO" sz="1400">
                <a:latin typeface="Times New Roman" panose="02020603050405020304" pitchFamily="18" charset="0"/>
                <a:cs typeface="Times New Roman" panose="02020603050405020304" pitchFamily="18" charset="0"/>
              </a:endParaRPr>
            </a:p>
          </xdr:txBody>
        </xdr:sp>
      </mc:Choice>
      <mc:Fallback xmlns="">
        <xdr:sp macro="" textlink="">
          <xdr:nvSpPr>
            <xdr:cNvPr id="74" name="CuadroTexto 73"/>
            <xdr:cNvSpPr txBox="1"/>
          </xdr:nvSpPr>
          <xdr:spPr>
            <a:xfrm>
              <a:off x="10558991" y="20193000"/>
              <a:ext cx="277284" cy="176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i="0">
                  <a:latin typeface="Cambria Math" panose="02040503050406030204" pitchFamily="18" charset="0"/>
                  <a:ea typeface="Cambria Math" panose="02040503050406030204" pitchFamily="18" charset="0"/>
                </a:rPr>
                <a:t>𝛽</a:t>
              </a:r>
              <a:endParaRPr lang="es-CO" sz="14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4</xdr:col>
      <xdr:colOff>460171</xdr:colOff>
      <xdr:row>55</xdr:row>
      <xdr:rowOff>59821</xdr:rowOff>
    </xdr:from>
    <xdr:ext cx="485775" cy="271764"/>
    <mc:AlternateContent xmlns:mc="http://schemas.openxmlformats.org/markup-compatibility/2006" xmlns:a14="http://schemas.microsoft.com/office/drawing/2010/main">
      <mc:Choice Requires="a14">
        <xdr:sp macro="" textlink="">
          <xdr:nvSpPr>
            <xdr:cNvPr id="75" name="CuadroTexto 74">
              <a:extLst>
                <a:ext uri="{FF2B5EF4-FFF2-40B4-BE49-F238E27FC236}">
                  <a16:creationId xmlns="" xmlns:a16="http://schemas.microsoft.com/office/drawing/2014/main" id="{00000000-0008-0000-0200-00004B000000}"/>
                </a:ext>
              </a:extLst>
            </xdr:cNvPr>
            <xdr:cNvSpPr txBox="1"/>
          </xdr:nvSpPr>
          <xdr:spPr>
            <a:xfrm>
              <a:off x="4908346" y="23234146"/>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75" name="CuadroTexto 74"/>
            <xdr:cNvSpPr txBox="1"/>
          </xdr:nvSpPr>
          <xdr:spPr>
            <a:xfrm>
              <a:off x="4908346" y="23234146"/>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twoCellAnchor>
    <xdr:from>
      <xdr:col>19</xdr:col>
      <xdr:colOff>250032</xdr:colOff>
      <xdr:row>5</xdr:row>
      <xdr:rowOff>595313</xdr:rowOff>
    </xdr:from>
    <xdr:to>
      <xdr:col>24</xdr:col>
      <xdr:colOff>270442</xdr:colOff>
      <xdr:row>11</xdr:row>
      <xdr:rowOff>307864</xdr:rowOff>
    </xdr:to>
    <xdr:graphicFrame macro="">
      <xdr:nvGraphicFramePr>
        <xdr:cNvPr id="54" name="Gráfico 53">
          <a:extLst>
            <a:ext uri="{FF2B5EF4-FFF2-40B4-BE49-F238E27FC236}">
              <a16:creationId xmlns="" xmlns:a16="http://schemas.microsoft.com/office/drawing/2014/main"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250031</xdr:colOff>
      <xdr:row>11</xdr:row>
      <xdr:rowOff>357188</xdr:rowOff>
    </xdr:from>
    <xdr:to>
      <xdr:col>24</xdr:col>
      <xdr:colOff>281327</xdr:colOff>
      <xdr:row>17</xdr:row>
      <xdr:rowOff>302420</xdr:rowOff>
    </xdr:to>
    <xdr:graphicFrame macro="">
      <xdr:nvGraphicFramePr>
        <xdr:cNvPr id="55" name="Gráfico 54">
          <a:extLst>
            <a:ext uri="{FF2B5EF4-FFF2-40B4-BE49-F238E27FC236}">
              <a16:creationId xmlns=""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71437</xdr:colOff>
      <xdr:row>32</xdr:row>
      <xdr:rowOff>47625</xdr:rowOff>
    </xdr:from>
    <xdr:to>
      <xdr:col>18</xdr:col>
      <xdr:colOff>539369</xdr:colOff>
      <xdr:row>35</xdr:row>
      <xdr:rowOff>64635</xdr:rowOff>
    </xdr:to>
    <xdr:graphicFrame macro="">
      <xdr:nvGraphicFramePr>
        <xdr:cNvPr id="56" name="Gráfico 55">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642937</xdr:colOff>
      <xdr:row>32</xdr:row>
      <xdr:rowOff>95250</xdr:rowOff>
    </xdr:from>
    <xdr:to>
      <xdr:col>21</xdr:col>
      <xdr:colOff>491744</xdr:colOff>
      <xdr:row>35</xdr:row>
      <xdr:rowOff>112260</xdr:rowOff>
    </xdr:to>
    <xdr:graphicFrame macro="">
      <xdr:nvGraphicFramePr>
        <xdr:cNvPr id="58" name="Gráfico 57">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619125</xdr:colOff>
      <xdr:row>32</xdr:row>
      <xdr:rowOff>95250</xdr:rowOff>
    </xdr:from>
    <xdr:to>
      <xdr:col>24</xdr:col>
      <xdr:colOff>467932</xdr:colOff>
      <xdr:row>35</xdr:row>
      <xdr:rowOff>112260</xdr:rowOff>
    </xdr:to>
    <xdr:graphicFrame macro="">
      <xdr:nvGraphicFramePr>
        <xdr:cNvPr id="60" name="Gráfico 59">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5</xdr:col>
      <xdr:colOff>180976</xdr:colOff>
      <xdr:row>26</xdr:row>
      <xdr:rowOff>37084</xdr:rowOff>
    </xdr:from>
    <xdr:ext cx="2343149" cy="4010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0300-000002000000}"/>
                </a:ext>
              </a:extLst>
            </xdr:cNvPr>
            <xdr:cNvSpPr txBox="1"/>
          </xdr:nvSpPr>
          <xdr:spPr>
            <a:xfrm>
              <a:off x="4752976" y="10247884"/>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𝑽𝒎𝒊𝒏</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2" name="CuadroTexto 1"/>
            <xdr:cNvSpPr txBox="1"/>
          </xdr:nvSpPr>
          <xdr:spPr>
            <a:xfrm>
              <a:off x="4752976" y="10247884"/>
              <a:ext cx="2343149" cy="401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𝝏𝑫/𝝏𝑽𝒎𝒊𝒏=−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422406</xdr:colOff>
      <xdr:row>29</xdr:row>
      <xdr:rowOff>8282</xdr:rowOff>
    </xdr:from>
    <xdr:ext cx="1880159" cy="331305"/>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4994406" y="107143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𝑽𝒎𝒂𝒙𝒍𝒆𝒄</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900" b="1" i="1">
                <a:latin typeface="Times New Roman" panose="02020603050405020304" pitchFamily="18" charset="0"/>
                <a:cs typeface="Times New Roman" panose="02020603050405020304" pitchFamily="18" charset="0"/>
              </a:endParaRPr>
            </a:p>
          </xdr:txBody>
        </xdr:sp>
      </mc:Choice>
      <mc:Fallback xmlns="">
        <xdr:sp macro="" textlink="">
          <xdr:nvSpPr>
            <xdr:cNvPr id="3" name="CuadroTexto 2"/>
            <xdr:cNvSpPr txBox="1"/>
          </xdr:nvSpPr>
          <xdr:spPr>
            <a:xfrm>
              <a:off x="4994406" y="10714382"/>
              <a:ext cx="1880159" cy="331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𝑽𝒎𝒂𝒙𝒍𝒆𝒄=  𝟏/𝒏</a:t>
              </a:r>
              <a:endParaRPr lang="es-CO" sz="9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373865</xdr:colOff>
      <xdr:row>30</xdr:row>
      <xdr:rowOff>46250</xdr:rowOff>
    </xdr:from>
    <xdr:ext cx="1920794" cy="39579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300-000004000000}"/>
                </a:ext>
              </a:extLst>
            </xdr:cNvPr>
            <xdr:cNvSpPr txBox="1"/>
          </xdr:nvSpPr>
          <xdr:spPr>
            <a:xfrm>
              <a:off x="4945865" y="11133350"/>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Cambria Math" panose="02040503050406030204" pitchFamily="18" charset="0"/>
                            <a:cs typeface="+mn-cs"/>
                          </a:rPr>
                          <m:t>∆</m:t>
                        </m:r>
                        <m:r>
                          <a:rPr lang="es-CO" sz="1100" b="1" i="1">
                            <a:solidFill>
                              <a:schemeClr val="tx1"/>
                            </a:solidFill>
                            <a:effectLst/>
                            <a:latin typeface="Cambria Math" panose="02040503050406030204" pitchFamily="18" charset="0"/>
                            <a:ea typeface="+mn-ea"/>
                            <a:cs typeface="+mn-cs"/>
                          </a:rPr>
                          <m:t>𝑽𝒎𝒊𝒏𝒍𝒆𝒄</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4" name="CuadroTexto 3"/>
            <xdr:cNvSpPr txBox="1"/>
          </xdr:nvSpPr>
          <xdr:spPr>
            <a:xfrm>
              <a:off x="4945865" y="11133350"/>
              <a:ext cx="1920794"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a:t>
              </a:r>
              <a:r>
                <a:rPr lang="es-CO" sz="1100" b="1" i="0">
                  <a:solidFill>
                    <a:schemeClr val="tx1"/>
                  </a:solidFill>
                  <a:effectLst/>
                  <a:latin typeface="Cambria Math" panose="02040503050406030204" pitchFamily="18" charset="0"/>
                  <a:ea typeface="Cambria Math" panose="02040503050406030204" pitchFamily="18" charset="0"/>
                  <a:cs typeface="+mn-cs"/>
                </a:rPr>
                <a:t>∆</a:t>
              </a:r>
              <a:r>
                <a:rPr lang="es-CO" sz="1100" b="1" i="0">
                  <a:solidFill>
                    <a:schemeClr val="tx1"/>
                  </a:solidFill>
                  <a:effectLst/>
                  <a:latin typeface="Cambria Math" panose="02040503050406030204" pitchFamily="18" charset="0"/>
                  <a:ea typeface="+mn-ea"/>
                  <a:cs typeface="+mn-cs"/>
                </a:rPr>
                <a:t>𝑽𝒎𝒊𝒏𝒍𝒆𝒄=  𝟏/𝒏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697334</xdr:colOff>
      <xdr:row>35</xdr:row>
      <xdr:rowOff>37181</xdr:rowOff>
    </xdr:from>
    <xdr:ext cx="1111805" cy="392205"/>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300-000005000000}"/>
                </a:ext>
              </a:extLst>
            </xdr:cNvPr>
            <xdr:cNvSpPr txBox="1"/>
          </xdr:nvSpPr>
          <xdr:spPr>
            <a:xfrm>
              <a:off x="5936084" y="15467681"/>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𝑽𝑫𝒎𝒆𝒕𝒐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5" name="CuadroTexto 4"/>
            <xdr:cNvSpPr txBox="1"/>
          </xdr:nvSpPr>
          <xdr:spPr>
            <a:xfrm>
              <a:off x="5936084" y="15467681"/>
              <a:ext cx="1111805" cy="392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𝝏𝑫/𝝏𝑽𝑫𝒎𝒆𝒕𝒐=𝟏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5</xdr:col>
      <xdr:colOff>444212</xdr:colOff>
      <xdr:row>25</xdr:row>
      <xdr:rowOff>60614</xdr:rowOff>
    </xdr:from>
    <xdr:ext cx="1842654" cy="353291"/>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300-000006000000}"/>
                </a:ext>
              </a:extLst>
            </xdr:cNvPr>
            <xdr:cNvSpPr txBox="1"/>
          </xdr:nvSpPr>
          <xdr:spPr>
            <a:xfrm>
              <a:off x="5682962" y="12681239"/>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𝑽𝒎𝒂𝒙</m:t>
                        </m:r>
                      </m:den>
                    </m:f>
                    <m:r>
                      <a:rPr lang="es-CO" sz="1100" b="1" i="1">
                        <a:solidFill>
                          <a:schemeClr val="tx1"/>
                        </a:solidFill>
                        <a:effectLst/>
                        <a:latin typeface="Cambria Math" panose="02040503050406030204" pitchFamily="18" charset="0"/>
                        <a:ea typeface="+mn-ea"/>
                        <a:cs typeface="+mn-cs"/>
                      </a:rPr>
                      <m:t>= </m:t>
                    </m:r>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𝟏</m:t>
                        </m:r>
                      </m:num>
                      <m:den>
                        <m:r>
                          <a:rPr lang="es-CO" sz="1100" b="1" i="1">
                            <a:solidFill>
                              <a:schemeClr val="tx1"/>
                            </a:solidFill>
                            <a:effectLst/>
                            <a:latin typeface="Cambria Math" panose="02040503050406030204" pitchFamily="18" charset="0"/>
                            <a:ea typeface="+mn-ea"/>
                            <a:cs typeface="+mn-cs"/>
                          </a:rPr>
                          <m:t>𝒏</m:t>
                        </m:r>
                      </m:den>
                    </m:f>
                  </m:oMath>
                </m:oMathPara>
              </a14:m>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Choice>
      <mc:Fallback xmlns="">
        <xdr:sp macro="" textlink="">
          <xdr:nvSpPr>
            <xdr:cNvPr id="6" name="CuadroTexto 5"/>
            <xdr:cNvSpPr txBox="1"/>
          </xdr:nvSpPr>
          <xdr:spPr>
            <a:xfrm>
              <a:off x="5682962" y="12681239"/>
              <a:ext cx="1842654" cy="3532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𝝏𝑫/𝝏𝑽𝒎𝒂𝒙=  𝟏/𝒏</a:t>
              </a:r>
              <a:endParaRPr lang="es-C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s-CO" sz="800" b="1"/>
            </a:p>
          </xdr:txBody>
        </xdr:sp>
      </mc:Fallback>
    </mc:AlternateContent>
    <xdr:clientData/>
  </xdr:oneCellAnchor>
  <xdr:oneCellAnchor>
    <xdr:from>
      <xdr:col>5</xdr:col>
      <xdr:colOff>734083</xdr:colOff>
      <xdr:row>33</xdr:row>
      <xdr:rowOff>38458</xdr:rowOff>
    </xdr:from>
    <xdr:ext cx="1115500" cy="395793"/>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7000000}"/>
                </a:ext>
              </a:extLst>
            </xdr:cNvPr>
            <xdr:cNvSpPr txBox="1"/>
          </xdr:nvSpPr>
          <xdr:spPr>
            <a:xfrm>
              <a:off x="5972833" y="14906983"/>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f>
                      <m:fPr>
                        <m:ctrlPr>
                          <a:rPr lang="es-CO" sz="1100" b="1" i="1">
                            <a:solidFill>
                              <a:schemeClr val="tx1"/>
                            </a:solidFill>
                            <a:effectLst/>
                            <a:latin typeface="Cambria Math" panose="02040503050406030204" pitchFamily="18" charset="0"/>
                            <a:ea typeface="+mn-ea"/>
                            <a:cs typeface="+mn-cs"/>
                          </a:rPr>
                        </m:ctrlPr>
                      </m:fPr>
                      <m:num>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𝑫</m:t>
                        </m:r>
                      </m:num>
                      <m:den>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𝑽𝑫</m:t>
                        </m:r>
                        <m:r>
                          <a:rPr lang="es-CO" sz="1100" b="1" i="1">
                            <a:solidFill>
                              <a:schemeClr val="tx1"/>
                            </a:solidFill>
                            <a:effectLst/>
                            <a:latin typeface="Cambria Math" panose="02040503050406030204" pitchFamily="18" charset="0"/>
                            <a:ea typeface="+mn-ea"/>
                            <a:cs typeface="+mn-cs"/>
                          </a:rPr>
                          <m:t> </m:t>
                        </m:r>
                        <m:r>
                          <a:rPr lang="es-CO" sz="1100" b="1" i="1">
                            <a:solidFill>
                              <a:schemeClr val="tx1"/>
                            </a:solidFill>
                            <a:effectLst/>
                            <a:latin typeface="Cambria Math" panose="02040503050406030204" pitchFamily="18" charset="0"/>
                            <a:ea typeface="+mn-ea"/>
                            <a:cs typeface="+mn-cs"/>
                          </a:rPr>
                          <m:t>𝒊𝒏𝒉𝒐</m:t>
                        </m:r>
                      </m:den>
                    </m:f>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𝟏</m:t>
                    </m:r>
                  </m:oMath>
                </m:oMathPara>
              </a14:m>
              <a:endParaRPr lang="es-CO" sz="1200" b="1" i="1">
                <a:latin typeface="Times New Roman" panose="02020603050405020304" pitchFamily="18" charset="0"/>
                <a:cs typeface="Times New Roman" panose="02020603050405020304" pitchFamily="18" charset="0"/>
              </a:endParaRPr>
            </a:p>
          </xdr:txBody>
        </xdr:sp>
      </mc:Choice>
      <mc:Fallback xmlns="">
        <xdr:sp macro="" textlink="">
          <xdr:nvSpPr>
            <xdr:cNvPr id="7" name="CuadroTexto 6"/>
            <xdr:cNvSpPr txBox="1"/>
          </xdr:nvSpPr>
          <xdr:spPr>
            <a:xfrm>
              <a:off x="5972833" y="14906983"/>
              <a:ext cx="1115500" cy="395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1" i="0">
                  <a:solidFill>
                    <a:schemeClr val="tx1"/>
                  </a:solidFill>
                  <a:effectLst/>
                  <a:latin typeface="Cambria Math" panose="02040503050406030204" pitchFamily="18" charset="0"/>
                  <a:ea typeface="+mn-ea"/>
                  <a:cs typeface="+mn-cs"/>
                </a:rPr>
                <a:t>𝝏𝑫/(𝝏𝑽𝑫 𝒊𝒏𝒉𝒐)=𝟏</a:t>
              </a:r>
              <a:endParaRPr lang="es-CO" sz="1200" b="1"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19</xdr:col>
      <xdr:colOff>183089</xdr:colOff>
      <xdr:row>15</xdr:row>
      <xdr:rowOff>54808</xdr:rowOff>
    </xdr:from>
    <xdr:ext cx="485775" cy="271764"/>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300-000008000000}"/>
                </a:ext>
              </a:extLst>
            </xdr:cNvPr>
            <xdr:cNvSpPr txBox="1"/>
          </xdr:nvSpPr>
          <xdr:spPr>
            <a:xfrm>
              <a:off x="12984689" y="5693608"/>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600" b="0" i="1">
                        <a:solidFill>
                          <a:schemeClr val="bg1"/>
                        </a:solidFill>
                        <a:latin typeface="Cambria Math" panose="02040503050406030204" pitchFamily="18" charset="0"/>
                      </a:rPr>
                      <m:t>𝑢</m:t>
                    </m:r>
                    <m:r>
                      <a:rPr lang="es-CO" sz="1600" b="0" i="1">
                        <a:solidFill>
                          <a:schemeClr val="bg1"/>
                        </a:solidFill>
                        <a:latin typeface="Cambria Math" panose="02040503050406030204" pitchFamily="18" charset="0"/>
                      </a:rPr>
                      <m:t> </m:t>
                    </m:r>
                    <m:r>
                      <a:rPr lang="es-CO" sz="1600" b="0" i="1">
                        <a:solidFill>
                          <a:schemeClr val="bg1"/>
                        </a:solidFill>
                        <a:latin typeface="Cambria Math" panose="02040503050406030204" pitchFamily="18" charset="0"/>
                      </a:rPr>
                      <m:t>𝐴</m:t>
                    </m:r>
                  </m:oMath>
                </m:oMathPara>
              </a14:m>
              <a:endParaRPr lang="es-CO" sz="1100">
                <a:solidFill>
                  <a:schemeClr val="bg1"/>
                </a:solidFill>
              </a:endParaRPr>
            </a:p>
          </xdr:txBody>
        </xdr:sp>
      </mc:Choice>
      <mc:Fallback xmlns="">
        <xdr:sp macro="" textlink="">
          <xdr:nvSpPr>
            <xdr:cNvPr id="8" name="CuadroTexto 7"/>
            <xdr:cNvSpPr txBox="1"/>
          </xdr:nvSpPr>
          <xdr:spPr>
            <a:xfrm>
              <a:off x="12984689" y="5693608"/>
              <a:ext cx="485775" cy="271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600" b="0" i="0">
                  <a:solidFill>
                    <a:schemeClr val="bg1"/>
                  </a:solidFill>
                  <a:latin typeface="Cambria Math" panose="02040503050406030204" pitchFamily="18" charset="0"/>
                </a:rPr>
                <a:t>𝑢 𝐴</a:t>
              </a:r>
              <a:endParaRPr lang="es-CO" sz="1100">
                <a:solidFill>
                  <a:schemeClr val="bg1"/>
                </a:solidFill>
              </a:endParaRPr>
            </a:p>
          </xdr:txBody>
        </xdr:sp>
      </mc:Fallback>
    </mc:AlternateContent>
    <xdr:clientData/>
  </xdr:oneCellAnchor>
  <xdr:oneCellAnchor>
    <xdr:from>
      <xdr:col>12</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300-000009000000}"/>
                </a:ext>
              </a:extLst>
            </xdr:cNvPr>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9" name="CuadroTexto 8"/>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11</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300-00000A000000}"/>
                </a:ext>
              </a:extLst>
            </xdr:cNvPr>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10" name="CuadroTexto 9"/>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298850</xdr:colOff>
      <xdr:row>49</xdr:row>
      <xdr:rowOff>102964</xdr:rowOff>
    </xdr:from>
    <xdr:ext cx="1415649" cy="4930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300-00000E000000}"/>
                </a:ext>
              </a:extLst>
            </xdr:cNvPr>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14" name="CuadroTexto 13"/>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19</xdr:col>
      <xdr:colOff>212913</xdr:colOff>
      <xdr:row>14</xdr:row>
      <xdr:rowOff>39654</xdr:rowOff>
    </xdr:from>
    <xdr:ext cx="610160" cy="184474"/>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300-00000F000000}"/>
                </a:ext>
              </a:extLst>
            </xdr:cNvPr>
            <xdr:cNvSpPr txBox="1"/>
          </xdr:nvSpPr>
          <xdr:spPr>
            <a:xfrm>
              <a:off x="13014513" y="52974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14:m>
                <m:oMathPara xmlns:m="http://schemas.openxmlformats.org/officeDocument/2006/math">
                  <m:oMathParaPr>
                    <m:jc m:val="centerGroup"/>
                  </m:oMathParaPr>
                  <m:oMath xmlns:m="http://schemas.openxmlformats.org/officeDocument/2006/math">
                    <m:sSub>
                      <m:sSubPr>
                        <m:ctrlPr>
                          <a:rPr lang="es-CO" sz="1100" b="1" i="1">
                            <a:solidFill>
                              <a:schemeClr val="bg1"/>
                            </a:solidFill>
                            <a:latin typeface="Cambria Math" panose="02040503050406030204" pitchFamily="18" charset="0"/>
                            <a:cs typeface="Times New Roman" panose="02020603050405020304" pitchFamily="18" charset="0"/>
                          </a:rPr>
                        </m:ctrlPr>
                      </m:sSubPr>
                      <m:e>
                        <m:r>
                          <m:rPr>
                            <m:nor/>
                          </m:rPr>
                          <a:rPr lang="es-CO" sz="1100" b="1" i="1">
                            <a:solidFill>
                              <a:schemeClr val="bg1"/>
                            </a:solidFill>
                            <a:effectLst/>
                            <a:latin typeface="+mn-lt"/>
                            <a:ea typeface="+mn-ea"/>
                            <a:cs typeface="+mn-cs"/>
                          </a:rPr>
                          <m:t>s</m:t>
                        </m:r>
                        <m:r>
                          <m:rPr>
                            <m:nor/>
                          </m:rPr>
                          <a:rPr lang="es-CO" sz="1100" b="1" i="1">
                            <a:solidFill>
                              <a:schemeClr val="bg1"/>
                            </a:solidFill>
                            <a:effectLst/>
                            <a:latin typeface="+mn-lt"/>
                            <a:ea typeface="+mn-ea"/>
                            <a:cs typeface="+mn-cs"/>
                          </a:rPr>
                          <m:t>  </m:t>
                        </m:r>
                        <m:r>
                          <m:rPr>
                            <m:nor/>
                          </m:rPr>
                          <a:rPr lang="es-CO" sz="1100" b="1" i="1">
                            <a:solidFill>
                              <a:schemeClr val="bg1"/>
                            </a:solidFill>
                            <a:effectLst/>
                            <a:latin typeface="+mn-lt"/>
                            <a:ea typeface="+mn-ea"/>
                            <a:cs typeface="+mn-cs"/>
                          </a:rPr>
                          <m:t>D</m:t>
                        </m:r>
                      </m:e>
                      <m:sub>
                        <m:r>
                          <a:rPr lang="es-CO" sz="1100" b="1" i="1">
                            <a:solidFill>
                              <a:schemeClr val="bg1"/>
                            </a:solidFill>
                            <a:latin typeface="Cambria Math" panose="02040503050406030204" pitchFamily="18" charset="0"/>
                            <a:cs typeface="Times New Roman" panose="02020603050405020304" pitchFamily="18" charset="0"/>
                          </a:rPr>
                          <m:t>𝒑𝒓𝒐𝒎</m:t>
                        </m:r>
                      </m:sub>
                    </m:sSub>
                  </m:oMath>
                </m:oMathPara>
              </a14:m>
              <a:endParaRPr lang="es-CO" sz="1100" b="1"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15" name="CuadroTexto 14"/>
            <xdr:cNvSpPr txBox="1"/>
          </xdr:nvSpPr>
          <xdr:spPr>
            <a:xfrm>
              <a:off x="13014513" y="5297454"/>
              <a:ext cx="610160" cy="184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lang="es-CO" sz="1100" b="1" i="0">
                  <a:solidFill>
                    <a:schemeClr val="bg1"/>
                  </a:solidFill>
                  <a:latin typeface="Cambria Math" panose="02040503050406030204" pitchFamily="18" charset="0"/>
                  <a:cs typeface="Times New Roman" panose="02020603050405020304" pitchFamily="18" charset="0"/>
                </a:rPr>
                <a:t>〖</a:t>
              </a:r>
              <a:r>
                <a:rPr lang="es-CO" sz="1100" b="1" i="0">
                  <a:solidFill>
                    <a:schemeClr val="bg1"/>
                  </a:solidFill>
                  <a:effectLst/>
                  <a:latin typeface="+mn-lt"/>
                  <a:ea typeface="+mn-ea"/>
                  <a:cs typeface="+mn-cs"/>
                </a:rPr>
                <a:t>"s  D</a:t>
              </a:r>
              <a:r>
                <a:rPr lang="es-CO" sz="1100" b="1" i="0">
                  <a:solidFill>
                    <a:schemeClr val="bg1"/>
                  </a:solidFill>
                  <a:effectLst/>
                  <a:latin typeface="Cambria Math" panose="02040503050406030204" pitchFamily="18" charset="0"/>
                  <a:ea typeface="+mn-ea"/>
                  <a:cs typeface="+mn-cs"/>
                </a:rPr>
                <a:t>" 〗_</a:t>
              </a:r>
              <a:r>
                <a:rPr lang="es-CO" sz="1100" b="1" i="0">
                  <a:solidFill>
                    <a:schemeClr val="bg1"/>
                  </a:solidFill>
                  <a:latin typeface="Cambria Math" panose="02040503050406030204" pitchFamily="18" charset="0"/>
                  <a:cs typeface="Times New Roman" panose="02020603050405020304" pitchFamily="18" charset="0"/>
                </a:rPr>
                <a:t>𝒑𝒓𝒐𝒎</a:t>
              </a:r>
              <a:endParaRPr lang="es-CO" sz="1100" b="1"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2</xdr:col>
      <xdr:colOff>275905</xdr:colOff>
      <xdr:row>31</xdr:row>
      <xdr:rowOff>95250</xdr:rowOff>
    </xdr:from>
    <xdr:ext cx="2540773" cy="284693"/>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300-000010000000}"/>
                </a:ext>
              </a:extLst>
            </xdr:cNvPr>
            <xdr:cNvSpPr txBox="1"/>
          </xdr:nvSpPr>
          <xdr:spPr>
            <a:xfrm>
              <a:off x="2371405" y="14355536"/>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1100" i="1">
                          <a:latin typeface="Cambria Math" panose="02040503050406030204" pitchFamily="18" charset="0"/>
                        </a:rPr>
                      </m:ctrlPr>
                    </m:sSupPr>
                    <m:e>
                      <m:r>
                        <m:rPr>
                          <m:nor/>
                        </m:rPr>
                        <a:rPr lang="es-CO" sz="1100">
                          <a:solidFill>
                            <a:schemeClr val="tx1"/>
                          </a:solidFill>
                          <a:effectLst/>
                          <a:latin typeface="+mn-lt"/>
                          <a:ea typeface="+mn-ea"/>
                          <a:cs typeface="+mn-cs"/>
                        </a:rPr>
                        <m:t>(</m:t>
                      </m:r>
                      <m:f>
                        <m:fPr>
                          <m:ctrlPr>
                            <a:rPr lang="es-CO" sz="1100" b="1" i="1">
                              <a:solidFill>
                                <a:schemeClr val="tx1"/>
                              </a:solidFill>
                              <a:effectLst/>
                              <a:latin typeface="Cambria Math" panose="02040503050406030204" pitchFamily="18" charset="0"/>
                              <a:ea typeface="+mn-ea"/>
                              <a:cs typeface="+mn-cs"/>
                            </a:rPr>
                          </m:ctrlPr>
                        </m:fPr>
                        <m:num>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𝑴𝒂𝒙</m:t>
                              </m:r>
                            </m:sub>
                          </m:sSub>
                          <m:r>
                            <a:rPr lang="es-CO" sz="1100" b="1" i="1">
                              <a:solidFill>
                                <a:schemeClr val="tx1"/>
                              </a:solidFill>
                              <a:effectLst/>
                              <a:latin typeface="Cambria Math" panose="02040503050406030204" pitchFamily="18" charset="0"/>
                              <a:ea typeface="+mn-ea"/>
                              <a:cs typeface="+mn-cs"/>
                            </a:rPr>
                            <m:t> − </m:t>
                          </m:r>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𝑬</m:t>
                              </m:r>
                            </m:e>
                            <m:sub>
                              <m:r>
                                <a:rPr lang="es-CO" sz="1100" b="1" i="1">
                                  <a:solidFill>
                                    <a:schemeClr val="tx1"/>
                                  </a:solidFill>
                                  <a:effectLst/>
                                  <a:latin typeface="Cambria Math" panose="02040503050406030204" pitchFamily="18" charset="0"/>
                                  <a:ea typeface="+mn-ea"/>
                                  <a:cs typeface="+mn-cs"/>
                                </a:rPr>
                                <m:t>𝑴𝒊𝒏</m:t>
                              </m:r>
                            </m:sub>
                          </m:sSub>
                        </m:num>
                        <m:den>
                          <m:rad>
                            <m:radPr>
                              <m:degHide m:val="on"/>
                              <m:ctrlPr>
                                <a:rPr lang="es-CO" sz="1100" b="1" i="1">
                                  <a:solidFill>
                                    <a:schemeClr val="tx1"/>
                                  </a:solidFill>
                                  <a:effectLst/>
                                  <a:latin typeface="Cambria Math" panose="02040503050406030204" pitchFamily="18" charset="0"/>
                                  <a:ea typeface="+mn-ea"/>
                                  <a:cs typeface="+mn-cs"/>
                                </a:rPr>
                              </m:ctrlPr>
                            </m:radPr>
                            <m:deg/>
                            <m:e>
                              <m:r>
                                <a:rPr lang="es-CO" sz="1100" b="1" i="1">
                                  <a:solidFill>
                                    <a:schemeClr val="tx1"/>
                                  </a:solidFill>
                                  <a:effectLst/>
                                  <a:latin typeface="Cambria Math" panose="02040503050406030204" pitchFamily="18" charset="0"/>
                                  <a:ea typeface="+mn-ea"/>
                                  <a:cs typeface="+mn-cs"/>
                                </a:rPr>
                                <m:t>𝟏𝟐</m:t>
                              </m:r>
                            </m:e>
                          </m:rad>
                        </m:den>
                      </m:f>
                      <m:r>
                        <m:rPr>
                          <m:nor/>
                        </m:rPr>
                        <a:rPr lang="es-CO" sz="1100" b="1">
                          <a:solidFill>
                            <a:schemeClr val="tx1"/>
                          </a:solidFill>
                          <a:effectLst/>
                          <a:latin typeface="+mn-lt"/>
                          <a:ea typeface="+mn-ea"/>
                          <a:cs typeface="+mn-cs"/>
                        </a:rPr>
                        <m:t>)</m:t>
                      </m:r>
                      <m:r>
                        <m:rPr>
                          <m:nor/>
                        </m:rPr>
                        <a:rPr lang="es-CO" sz="1100" b="1">
                          <a:effectLst/>
                        </a:rPr>
                        <m:t> </m:t>
                      </m:r>
                    </m:e>
                    <m:sup>
                      <m:r>
                        <a:rPr lang="es-CO" sz="1100" b="0" i="1">
                          <a:latin typeface="Cambria Math" panose="02040503050406030204" pitchFamily="18" charset="0"/>
                        </a:rPr>
                        <m:t>2</m:t>
                      </m:r>
                    </m:sup>
                  </m:sSup>
                </m:oMath>
              </a14:m>
              <a:endParaRPr lang="es-CO" sz="1100"/>
            </a:p>
          </xdr:txBody>
        </xdr:sp>
      </mc:Choice>
      <mc:Fallback xmlns="">
        <xdr:sp macro="" textlink="">
          <xdr:nvSpPr>
            <xdr:cNvPr id="16" name="CuadroTexto 15"/>
            <xdr:cNvSpPr txBox="1"/>
          </xdr:nvSpPr>
          <xdr:spPr>
            <a:xfrm>
              <a:off x="2371405" y="14355536"/>
              <a:ext cx="2540773" cy="284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1100" i="0">
                  <a:latin typeface="Cambria Math" panose="02040503050406030204" pitchFamily="18" charset="0"/>
                </a:rPr>
                <a:t>〖</a:t>
              </a:r>
              <a:r>
                <a:rPr lang="es-CO" sz="1100" i="0">
                  <a:solidFill>
                    <a:schemeClr val="tx1"/>
                  </a:solidFill>
                  <a:effectLst/>
                  <a:latin typeface="+mn-lt"/>
                  <a:ea typeface="+mn-ea"/>
                  <a:cs typeface="+mn-cs"/>
                </a:rPr>
                <a:t>"(</a:t>
              </a:r>
              <a:r>
                <a:rPr lang="es-CO" sz="1100" b="1" i="0">
                  <a:solidFill>
                    <a:schemeClr val="tx1"/>
                  </a:solidFill>
                  <a:effectLst/>
                  <a:latin typeface="Cambria Math" panose="02040503050406030204" pitchFamily="18" charset="0"/>
                  <a:ea typeface="+mn-ea"/>
                  <a:cs typeface="+mn-cs"/>
                </a:rPr>
                <a:t>"  (𝑬_𝑴𝒂𝒙  − 𝑬_𝑴𝒊𝒏)/√𝟏𝟐</a:t>
              </a:r>
              <a:r>
                <a:rPr lang="es-CO" sz="1100" b="1" i="0">
                  <a:solidFill>
                    <a:schemeClr val="tx1"/>
                  </a:solidFill>
                  <a:effectLst/>
                  <a:latin typeface="+mn-lt"/>
                  <a:ea typeface="+mn-ea"/>
                  <a:cs typeface="+mn-cs"/>
                </a:rPr>
                <a:t> ")</a:t>
              </a:r>
              <a:r>
                <a:rPr lang="es-CO" sz="1100" b="1" i="0">
                  <a:effectLst/>
                </a:rPr>
                <a:t> </a:t>
              </a:r>
              <a:r>
                <a:rPr lang="es-CO" sz="1100" b="1" i="0">
                  <a:effectLst/>
                  <a:latin typeface="Cambria Math" panose="02040503050406030204" pitchFamily="18" charset="0"/>
                </a:rPr>
                <a:t>" 〗^</a:t>
              </a:r>
              <a:r>
                <a:rPr lang="es-CO" sz="1100" b="0" i="0">
                  <a:latin typeface="Cambria Math" panose="02040503050406030204" pitchFamily="18" charset="0"/>
                </a:rPr>
                <a:t>2</a:t>
              </a:r>
              <a:endParaRPr lang="es-CO" sz="1100"/>
            </a:p>
          </xdr:txBody>
        </xdr:sp>
      </mc:Fallback>
    </mc:AlternateContent>
    <xdr:clientData/>
  </xdr:oneCellAnchor>
  <xdr:oneCellAnchor>
    <xdr:from>
      <xdr:col>20</xdr:col>
      <xdr:colOff>191239</xdr:colOff>
      <xdr:row>18</xdr:row>
      <xdr:rowOff>85618</xdr:rowOff>
    </xdr:from>
    <xdr:ext cx="525812" cy="172227"/>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300-000012000000}"/>
                </a:ext>
              </a:extLst>
            </xdr:cNvPr>
            <xdr:cNvSpPr txBox="1"/>
          </xdr:nvSpPr>
          <xdr:spPr>
            <a:xfrm>
              <a:off x="12992839" y="6867418"/>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solidFill>
                          <a:schemeClr val="bg1"/>
                        </a:solidFill>
                        <a:effectLst/>
                        <a:latin typeface="Cambria Math" panose="02040503050406030204" pitchFamily="18" charset="0"/>
                        <a:ea typeface="+mn-ea"/>
                        <a:cs typeface="+mn-cs"/>
                      </a:rPr>
                      <m:t>∆</m:t>
                    </m:r>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𝑴𝒂𝒙</m:t>
                        </m:r>
                      </m:sub>
                    </m:sSub>
                  </m:oMath>
                </m:oMathPara>
              </a14:m>
              <a:endParaRPr lang="es-CO" sz="1100">
                <a:solidFill>
                  <a:schemeClr val="bg1"/>
                </a:solidFill>
              </a:endParaRPr>
            </a:p>
          </xdr:txBody>
        </xdr:sp>
      </mc:Choice>
      <mc:Fallback xmlns="">
        <xdr:sp macro="" textlink="">
          <xdr:nvSpPr>
            <xdr:cNvPr id="18" name="CuadroTexto 17"/>
            <xdr:cNvSpPr txBox="1"/>
          </xdr:nvSpPr>
          <xdr:spPr>
            <a:xfrm>
              <a:off x="12992839" y="6867418"/>
              <a:ext cx="52581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effectLst/>
                  <a:latin typeface="Cambria Math" panose="02040503050406030204" pitchFamily="18" charset="0"/>
                  <a:ea typeface="+mn-ea"/>
                  <a:cs typeface="+mn-cs"/>
                </a:rPr>
                <a:t>∆𝑽_𝑴𝒂𝒙</a:t>
              </a:r>
              <a:endParaRPr lang="es-CO" sz="1100">
                <a:solidFill>
                  <a:schemeClr val="bg1"/>
                </a:solidFill>
              </a:endParaRPr>
            </a:p>
          </xdr:txBody>
        </xdr:sp>
      </mc:Fallback>
    </mc:AlternateContent>
    <xdr:clientData/>
  </xdr:oneCellAnchor>
  <xdr:oneCellAnchor>
    <xdr:from>
      <xdr:col>20</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300-000013000000}"/>
                </a:ext>
              </a:extLst>
            </xdr:cNvPr>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19" name="CuadroTexto 18"/>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20</xdr:col>
      <xdr:colOff>197261</xdr:colOff>
      <xdr:row>19</xdr:row>
      <xdr:rowOff>64214</xdr:rowOff>
    </xdr:from>
    <xdr:ext cx="487684" cy="226276"/>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300-000018000000}"/>
                </a:ext>
              </a:extLst>
            </xdr:cNvPr>
            <xdr:cNvSpPr txBox="1"/>
          </xdr:nvSpPr>
          <xdr:spPr>
            <a:xfrm>
              <a:off x="12998861" y="7227014"/>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CO" sz="1100" b="0" i="1">
                        <a:solidFill>
                          <a:schemeClr val="bg1"/>
                        </a:solidFill>
                        <a:effectLst/>
                        <a:latin typeface="Cambria Math" panose="02040503050406030204" pitchFamily="18" charset="0"/>
                        <a:ea typeface="+mn-ea"/>
                        <a:cs typeface="+mn-cs"/>
                      </a:rPr>
                      <m:t>∆</m:t>
                    </m:r>
                    <m:sSub>
                      <m:sSubPr>
                        <m:ctrlPr>
                          <a:rPr lang="es-CO" sz="1100" b="0" i="1">
                            <a:solidFill>
                              <a:schemeClr val="bg1"/>
                            </a:solidFill>
                            <a:effectLst/>
                            <a:latin typeface="Cambria Math" panose="02040503050406030204" pitchFamily="18" charset="0"/>
                            <a:ea typeface="+mn-ea"/>
                            <a:cs typeface="+mn-cs"/>
                          </a:rPr>
                        </m:ctrlPr>
                      </m:sSubPr>
                      <m:e>
                        <m:r>
                          <a:rPr lang="es-CO" sz="1100" b="0" i="1">
                            <a:solidFill>
                              <a:schemeClr val="bg1"/>
                            </a:solidFill>
                            <a:effectLst/>
                            <a:latin typeface="Cambria Math" panose="02040503050406030204" pitchFamily="18" charset="0"/>
                            <a:ea typeface="+mn-ea"/>
                            <a:cs typeface="+mn-cs"/>
                          </a:rPr>
                          <m:t>𝑉</m:t>
                        </m:r>
                      </m:e>
                      <m:sub>
                        <m:r>
                          <a:rPr lang="es-CO" sz="1100" b="0" i="1">
                            <a:solidFill>
                              <a:schemeClr val="bg1"/>
                            </a:solidFill>
                            <a:effectLst/>
                            <a:latin typeface="Cambria Math" panose="02040503050406030204" pitchFamily="18" charset="0"/>
                            <a:ea typeface="+mn-ea"/>
                            <a:cs typeface="+mn-cs"/>
                          </a:rPr>
                          <m:t>𝑀𝑖𝑛</m:t>
                        </m:r>
                      </m:sub>
                    </m:sSub>
                  </m:oMath>
                </m:oMathPara>
              </a14:m>
              <a:endParaRPr lang="es-CO" sz="1100" b="0">
                <a:solidFill>
                  <a:schemeClr val="bg1"/>
                </a:solidFill>
              </a:endParaRPr>
            </a:p>
          </xdr:txBody>
        </xdr:sp>
      </mc:Choice>
      <mc:Fallback xmlns="">
        <xdr:sp macro="" textlink="">
          <xdr:nvSpPr>
            <xdr:cNvPr id="24" name="CuadroTexto 23"/>
            <xdr:cNvSpPr txBox="1"/>
          </xdr:nvSpPr>
          <xdr:spPr>
            <a:xfrm>
              <a:off x="12998861" y="7227014"/>
              <a:ext cx="487684" cy="226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solidFill>
                    <a:schemeClr val="bg1"/>
                  </a:solidFill>
                  <a:effectLst/>
                  <a:latin typeface="Cambria Math" panose="02040503050406030204" pitchFamily="18" charset="0"/>
                  <a:ea typeface="+mn-ea"/>
                  <a:cs typeface="+mn-cs"/>
                </a:rPr>
                <a:t>∆𝑉_𝑀𝑖𝑛</a:t>
              </a:r>
              <a:endParaRPr lang="es-CO" sz="1100" b="0">
                <a:solidFill>
                  <a:schemeClr val="bg1"/>
                </a:solidFill>
              </a:endParaRPr>
            </a:p>
          </xdr:txBody>
        </xdr:sp>
      </mc:Fallback>
    </mc:AlternateContent>
    <xdr:clientData/>
  </xdr:oneCellAnchor>
  <xdr:oneCellAnchor>
    <xdr:from>
      <xdr:col>2</xdr:col>
      <xdr:colOff>269421</xdr:colOff>
      <xdr:row>44</xdr:row>
      <xdr:rowOff>299357</xdr:rowOff>
    </xdr:from>
    <xdr:ext cx="900793" cy="172227"/>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300-000019000000}"/>
                </a:ext>
              </a:extLst>
            </xdr:cNvPr>
            <xdr:cNvSpPr txBox="1"/>
          </xdr:nvSpPr>
          <xdr:spPr>
            <a:xfrm>
              <a:off x="2364921" y="20206607"/>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𝒎𝒂𝒙</m:t>
                        </m:r>
                      </m:sub>
                    </m:sSub>
                  </m:oMath>
                </m:oMathPara>
              </a14:m>
              <a:endParaRPr lang="es-CO" sz="1100" b="1"/>
            </a:p>
          </xdr:txBody>
        </xdr:sp>
      </mc:Choice>
      <mc:Fallback xmlns="">
        <xdr:sp macro="" textlink="">
          <xdr:nvSpPr>
            <xdr:cNvPr id="25" name="CuadroTexto 24"/>
            <xdr:cNvSpPr txBox="1"/>
          </xdr:nvSpPr>
          <xdr:spPr>
            <a:xfrm>
              <a:off x="2364921" y="20206607"/>
              <a:ext cx="90079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𝒎𝒂𝒙</a:t>
              </a:r>
              <a:endParaRPr lang="es-CO" sz="1100" b="1"/>
            </a:p>
          </xdr:txBody>
        </xdr:sp>
      </mc:Fallback>
    </mc:AlternateContent>
    <xdr:clientData/>
  </xdr:oneCellAnchor>
  <xdr:oneCellAnchor>
    <xdr:from>
      <xdr:col>2</xdr:col>
      <xdr:colOff>408644</xdr:colOff>
      <xdr:row>47</xdr:row>
      <xdr:rowOff>257176</xdr:rowOff>
    </xdr:from>
    <xdr:ext cx="465320" cy="172227"/>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300-00001B000000}"/>
                </a:ext>
              </a:extLst>
            </xdr:cNvPr>
            <xdr:cNvSpPr txBox="1"/>
          </xdr:nvSpPr>
          <xdr:spPr>
            <a:xfrm>
              <a:off x="2504144" y="21674819"/>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𝒊𝒏𝒉𝒐</m:t>
                        </m:r>
                        <m:r>
                          <a:rPr lang="es-CO" sz="1100" b="1" i="1">
                            <a:latin typeface="Cambria Math" panose="02040503050406030204" pitchFamily="18" charset="0"/>
                            <a:ea typeface="Cambria Math" panose="02040503050406030204" pitchFamily="18" charset="0"/>
                          </a:rPr>
                          <m:t> </m:t>
                        </m:r>
                      </m:sub>
                    </m:sSub>
                  </m:oMath>
                </m:oMathPara>
              </a14:m>
              <a:endParaRPr lang="es-CO" sz="1100" b="1"/>
            </a:p>
          </xdr:txBody>
        </xdr:sp>
      </mc:Choice>
      <mc:Fallback xmlns="">
        <xdr:sp macro="" textlink="">
          <xdr:nvSpPr>
            <xdr:cNvPr id="27" name="CuadroTexto 26"/>
            <xdr:cNvSpPr txBox="1"/>
          </xdr:nvSpPr>
          <xdr:spPr>
            <a:xfrm>
              <a:off x="2504144" y="21674819"/>
              <a:ext cx="4653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𝒊𝒏𝒉𝒐 )</a:t>
              </a:r>
              <a:endParaRPr lang="es-CO" sz="1100" b="1"/>
            </a:p>
          </xdr:txBody>
        </xdr:sp>
      </mc:Fallback>
    </mc:AlternateContent>
    <xdr:clientData/>
  </xdr:oneCellAnchor>
  <xdr:oneCellAnchor>
    <xdr:from>
      <xdr:col>1</xdr:col>
      <xdr:colOff>401984</xdr:colOff>
      <xdr:row>48</xdr:row>
      <xdr:rowOff>165505</xdr:rowOff>
    </xdr:from>
    <xdr:ext cx="1635291" cy="32579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300-00001C000000}"/>
                </a:ext>
              </a:extLst>
            </xdr:cNvPr>
            <xdr:cNvSpPr txBox="1"/>
          </xdr:nvSpPr>
          <xdr:spPr>
            <a:xfrm>
              <a:off x="1449734" y="22086612"/>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000" b="1" i="1">
                        <a:latin typeface="Cambria Math" panose="02040503050406030204" pitchFamily="18" charset="0"/>
                      </a:rPr>
                      <m:t>𝒖</m:t>
                    </m:r>
                    <m:d>
                      <m:dPr>
                        <m:ctrlPr>
                          <a:rPr lang="es-CO" sz="1000" b="1" i="1">
                            <a:latin typeface="Cambria Math" panose="02040503050406030204" pitchFamily="18" charset="0"/>
                          </a:rPr>
                        </m:ctrlPr>
                      </m:dPr>
                      <m:e>
                        <m:sSub>
                          <m:sSubPr>
                            <m:ctrlPr>
                              <a:rPr lang="es-CO" sz="1000" b="1" i="1">
                                <a:latin typeface="Cambria Math" panose="02040503050406030204" pitchFamily="18" charset="0"/>
                              </a:rPr>
                            </m:ctrlPr>
                          </m:sSubPr>
                          <m:e>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𝑫</m:t>
                            </m:r>
                          </m:e>
                          <m:sub>
                            <m:r>
                              <a:rPr lang="es-CO" sz="1000" b="1" i="1">
                                <a:latin typeface="Cambria Math" panose="02040503050406030204" pitchFamily="18" charset="0"/>
                              </a:rPr>
                              <m:t>𝒎𝒆𝒕</m:t>
                            </m:r>
                          </m:sub>
                        </m:sSub>
                        <m:r>
                          <a:rPr lang="es-CO" sz="1000" b="1" i="1">
                            <a:latin typeface="Cambria Math" panose="02040503050406030204" pitchFamily="18" charset="0"/>
                          </a:rPr>
                          <m:t> </m:t>
                        </m:r>
                      </m:e>
                    </m:d>
                    <m:r>
                      <a:rPr lang="es-CO" sz="1000" b="1" i="1">
                        <a:latin typeface="Cambria Math" panose="02040503050406030204" pitchFamily="18" charset="0"/>
                      </a:rPr>
                      <m:t>=</m:t>
                    </m:r>
                    <m:f>
                      <m:fPr>
                        <m:ctrlPr>
                          <a:rPr lang="es-CO" sz="1000" b="1" i="1">
                            <a:latin typeface="Cambria Math" panose="02040503050406030204" pitchFamily="18" charset="0"/>
                          </a:rPr>
                        </m:ctrlPr>
                      </m:fPr>
                      <m:num>
                        <m:r>
                          <a:rPr lang="es-CO" sz="1000" b="1" i="1">
                            <a:latin typeface="Cambria Math" panose="02040503050406030204" pitchFamily="18" charset="0"/>
                          </a:rPr>
                          <m:t>𝒔</m:t>
                        </m:r>
                        <m:r>
                          <a:rPr lang="es-CO" sz="1000" b="1" i="1">
                            <a:latin typeface="Cambria Math" panose="02040503050406030204" pitchFamily="18" charset="0"/>
                          </a:rPr>
                          <m:t>(</m:t>
                        </m:r>
                        <m:sSub>
                          <m:sSubPr>
                            <m:ctrlPr>
                              <a:rPr lang="es-CO" sz="1000" b="1" i="1">
                                <a:latin typeface="Cambria Math" panose="02040503050406030204" pitchFamily="18" charset="0"/>
                              </a:rPr>
                            </m:ctrlPr>
                          </m:sSubPr>
                          <m:e>
                            <m:r>
                              <a:rPr lang="es-CO" sz="1000" b="1" i="1">
                                <a:latin typeface="Cambria Math" panose="02040503050406030204" pitchFamily="18" charset="0"/>
                              </a:rPr>
                              <m:t>𝑫</m:t>
                            </m:r>
                          </m:e>
                          <m:sub>
                            <m:r>
                              <a:rPr lang="es-CO" sz="1000" b="1" i="1">
                                <a:latin typeface="Cambria Math" panose="02040503050406030204" pitchFamily="18" charset="0"/>
                              </a:rPr>
                              <m:t>𝒑𝒓𝒐𝒎</m:t>
                            </m:r>
                          </m:sub>
                        </m:sSub>
                      </m:num>
                      <m:den>
                        <m:rad>
                          <m:radPr>
                            <m:degHide m:val="on"/>
                            <m:ctrlPr>
                              <a:rPr lang="es-CO" sz="1000" b="1" i="1">
                                <a:latin typeface="Cambria Math" panose="02040503050406030204" pitchFamily="18" charset="0"/>
                              </a:rPr>
                            </m:ctrlPr>
                          </m:radPr>
                          <m:deg/>
                          <m:e>
                            <m:r>
                              <a:rPr lang="es-CO" sz="1000" b="1" i="1">
                                <a:latin typeface="Cambria Math" panose="02040503050406030204" pitchFamily="18" charset="0"/>
                              </a:rPr>
                              <m:t>𝑵</m:t>
                            </m:r>
                          </m:e>
                        </m:rad>
                      </m:den>
                    </m:f>
                  </m:oMath>
                </m:oMathPara>
              </a14:m>
              <a:endParaRPr lang="es-CO" sz="1000" b="1" i="1" baseline="-25000"/>
            </a:p>
          </xdr:txBody>
        </xdr:sp>
      </mc:Choice>
      <mc:Fallback xmlns="">
        <xdr:sp macro="" textlink="">
          <xdr:nvSpPr>
            <xdr:cNvPr id="28" name="CuadroTexto 27"/>
            <xdr:cNvSpPr txBox="1"/>
          </xdr:nvSpPr>
          <xdr:spPr>
            <a:xfrm>
              <a:off x="1449734" y="22086612"/>
              <a:ext cx="1635291" cy="325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000" b="1" i="0">
                  <a:latin typeface="Cambria Math" panose="02040503050406030204" pitchFamily="18" charset="0"/>
                </a:rPr>
                <a:t>𝒖(〖</a:t>
              </a:r>
              <a:r>
                <a:rPr lang="es-CO" sz="1000" b="1" i="0">
                  <a:solidFill>
                    <a:schemeClr val="tx1"/>
                  </a:solidFill>
                  <a:effectLst/>
                  <a:latin typeface="Cambria Math" panose="02040503050406030204" pitchFamily="18" charset="0"/>
                  <a:ea typeface="+mn-ea"/>
                  <a:cs typeface="+mn-cs"/>
                </a:rPr>
                <a:t>∆𝑫〗_</a:t>
              </a:r>
              <a:r>
                <a:rPr lang="es-CO" sz="1000" b="1" i="0">
                  <a:latin typeface="Cambria Math" panose="02040503050406030204" pitchFamily="18" charset="0"/>
                </a:rPr>
                <a:t>𝒎𝒆𝒕  )=(𝒔(𝑫_𝒑𝒓𝒐𝒎)/√𝑵</a:t>
              </a:r>
              <a:endParaRPr lang="es-CO" sz="1000" b="1" i="1" baseline="-25000"/>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300-00001D000000}"/>
                </a:ext>
              </a:extLst>
            </xdr:cNvPr>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29" name="CuadroTexto 28"/>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oneCellAnchor>
    <xdr:from>
      <xdr:col>12</xdr:col>
      <xdr:colOff>351066</xdr:colOff>
      <xdr:row>8</xdr:row>
      <xdr:rowOff>232683</xdr:rowOff>
    </xdr:from>
    <xdr:ext cx="1690006" cy="670889"/>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300-000025000000}"/>
                </a:ext>
              </a:extLst>
            </xdr:cNvPr>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14:m>
                <m:oMath xmlns:m="http://schemas.openxmlformats.org/officeDocument/2006/math">
                  <m:f>
                    <m:fPr>
                      <m:ctrlPr>
                        <a:rPr lang="es-CO" sz="3000" b="1" i="1">
                          <a:solidFill>
                            <a:schemeClr val="bg1"/>
                          </a:solidFill>
                          <a:latin typeface="Cambria Math" panose="02040503050406030204" pitchFamily="18" charset="0"/>
                        </a:rPr>
                      </m:ctrlPr>
                    </m:fPr>
                    <m:num>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num>
                    <m:den>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𝟐</m:t>
                          </m:r>
                        </m:sub>
                      </m:sSub>
                      <m:r>
                        <a:rPr lang="es-CO" sz="3000" b="1" i="1">
                          <a:solidFill>
                            <a:schemeClr val="bg1"/>
                          </a:solidFill>
                          <a:latin typeface="Cambria Math" panose="02040503050406030204" pitchFamily="18" charset="0"/>
                        </a:rPr>
                        <m:t> −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den>
                  </m:f>
                </m:oMath>
              </a14:m>
              <a:endParaRPr lang="es-CO" sz="3000" b="1" i="1"/>
            </a:p>
          </xdr:txBody>
        </xdr:sp>
      </mc:Choice>
      <mc:Fallback xmlns="">
        <xdr:sp macro="" textlink="">
          <xdr:nvSpPr>
            <xdr:cNvPr id="37" name="CuadroTexto 36"/>
            <xdr:cNvSpPr txBox="1"/>
          </xdr:nvSpPr>
          <xdr:spPr>
            <a:xfrm>
              <a:off x="6751866" y="3204483"/>
              <a:ext cx="1690006" cy="670889"/>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3000" b="1" i="1" baseline="0">
                  <a:solidFill>
                    <a:schemeClr val="bg1"/>
                  </a:solidFill>
                </a:rPr>
                <a:t>m = </a:t>
              </a:r>
              <a:r>
                <a:rPr lang="es-CO" sz="3000" b="1" i="0">
                  <a:solidFill>
                    <a:schemeClr val="bg1"/>
                  </a:solidFill>
                  <a:latin typeface="Cambria Math" panose="02040503050406030204" pitchFamily="18" charset="0"/>
                </a:rPr>
                <a:t>(𝒚_𝟐  − 𝒚_𝟏)/(𝒙_𝟐  − 𝒙_𝟏 )</a:t>
              </a:r>
              <a:endParaRPr lang="es-CO" sz="3000" b="1" i="1"/>
            </a:p>
          </xdr:txBody>
        </xdr:sp>
      </mc:Fallback>
    </mc:AlternateContent>
    <xdr:clientData/>
  </xdr:oneCellAnchor>
  <xdr:oneCellAnchor>
    <xdr:from>
      <xdr:col>11</xdr:col>
      <xdr:colOff>692610</xdr:colOff>
      <xdr:row>7</xdr:row>
      <xdr:rowOff>69396</xdr:rowOff>
    </xdr:from>
    <xdr:ext cx="3192221" cy="469616"/>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300-000026000000}"/>
                </a:ext>
              </a:extLst>
            </xdr:cNvPr>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3000" b="1" i="1">
                      <a:solidFill>
                        <a:schemeClr val="bg1"/>
                      </a:solidFill>
                      <a:latin typeface="Cambria Math" panose="02040503050406030204" pitchFamily="18" charset="0"/>
                    </a:rPr>
                    <m:t>𝒚</m:t>
                  </m:r>
                  <m:r>
                    <a:rPr lang="es-CO" sz="3000" b="1" i="1">
                      <a:solidFill>
                        <a:schemeClr val="bg1"/>
                      </a:solidFill>
                      <a:latin typeface="Cambria Math" panose="02040503050406030204" pitchFamily="18" charset="0"/>
                    </a:rPr>
                    <m:t>= </m:t>
                  </m:r>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𝒚</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 m (x - </a:t>
              </a:r>
              <a14:m>
                <m:oMath xmlns:m="http://schemas.openxmlformats.org/officeDocument/2006/math">
                  <m:sSub>
                    <m:sSubPr>
                      <m:ctrlPr>
                        <a:rPr lang="es-CO" sz="3000" b="1" i="1">
                          <a:solidFill>
                            <a:schemeClr val="bg1"/>
                          </a:solidFill>
                          <a:latin typeface="Cambria Math" panose="02040503050406030204" pitchFamily="18" charset="0"/>
                        </a:rPr>
                      </m:ctrlPr>
                    </m:sSubPr>
                    <m:e>
                      <m:r>
                        <a:rPr lang="es-CO" sz="3000" b="1" i="1">
                          <a:solidFill>
                            <a:schemeClr val="bg1"/>
                          </a:solidFill>
                          <a:latin typeface="Cambria Math" panose="02040503050406030204" pitchFamily="18" charset="0"/>
                        </a:rPr>
                        <m:t>𝒙</m:t>
                      </m:r>
                    </m:e>
                    <m:sub>
                      <m:r>
                        <a:rPr lang="es-CO" sz="3000" b="1" i="1">
                          <a:solidFill>
                            <a:schemeClr val="bg1"/>
                          </a:solidFill>
                          <a:latin typeface="Cambria Math" panose="02040503050406030204" pitchFamily="18" charset="0"/>
                        </a:rPr>
                        <m:t>𝟏</m:t>
                      </m:r>
                    </m:sub>
                  </m:sSub>
                </m:oMath>
              </a14:m>
              <a:r>
                <a:rPr lang="es-CO" sz="3000" b="1" i="1">
                  <a:solidFill>
                    <a:schemeClr val="bg1"/>
                  </a:solidFill>
                </a:rPr>
                <a:t>) </a:t>
              </a:r>
            </a:p>
          </xdr:txBody>
        </xdr:sp>
      </mc:Choice>
      <mc:Fallback xmlns="">
        <xdr:sp macro="" textlink="">
          <xdr:nvSpPr>
            <xdr:cNvPr id="38" name="CuadroTexto 37"/>
            <xdr:cNvSpPr txBox="1"/>
          </xdr:nvSpPr>
          <xdr:spPr>
            <a:xfrm>
              <a:off x="6179010" y="2660196"/>
              <a:ext cx="3192221" cy="469616"/>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3000" b="1" i="0">
                  <a:solidFill>
                    <a:schemeClr val="bg1"/>
                  </a:solidFill>
                  <a:latin typeface="Cambria Math" panose="02040503050406030204" pitchFamily="18" charset="0"/>
                </a:rPr>
                <a:t>𝒚= 𝒚_𝟏</a:t>
              </a:r>
              <a:r>
                <a:rPr lang="es-CO" sz="3000" b="1" i="1">
                  <a:solidFill>
                    <a:schemeClr val="bg1"/>
                  </a:solidFill>
                </a:rPr>
                <a:t> + m (x - </a:t>
              </a:r>
              <a:r>
                <a:rPr lang="es-CO" sz="3000" b="1" i="0">
                  <a:solidFill>
                    <a:schemeClr val="bg1"/>
                  </a:solidFill>
                  <a:latin typeface="Cambria Math" panose="02040503050406030204" pitchFamily="18" charset="0"/>
                </a:rPr>
                <a:t>𝒙_𝟏</a:t>
              </a:r>
              <a:r>
                <a:rPr lang="es-CO" sz="3000" b="1" i="1">
                  <a:solidFill>
                    <a:schemeClr val="bg1"/>
                  </a:solidFill>
                </a:rPr>
                <a:t>) </a:t>
              </a:r>
            </a:p>
          </xdr:txBody>
        </xdr:sp>
      </mc:Fallback>
    </mc:AlternateContent>
    <xdr:clientData/>
  </xdr:oneCellAnchor>
  <xdr:oneCellAnchor>
    <xdr:from>
      <xdr:col>10</xdr:col>
      <xdr:colOff>298850</xdr:colOff>
      <xdr:row>49</xdr:row>
      <xdr:rowOff>102964</xdr:rowOff>
    </xdr:from>
    <xdr:ext cx="1415649" cy="493060"/>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300-00002A000000}"/>
                </a:ext>
              </a:extLst>
            </xdr:cNvPr>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100" b="1" i="1">
                            <a:latin typeface="Cambria Math" panose="02040503050406030204" pitchFamily="18" charset="0"/>
                          </a:rPr>
                        </m:ctrlPr>
                      </m:sSupPr>
                      <m:e>
                        <m:sSup>
                          <m:sSupPr>
                            <m:ctrlPr>
                              <a:rPr lang="es-CO" sz="1000" b="1" i="1">
                                <a:solidFill>
                                  <a:schemeClr val="tx1"/>
                                </a:solidFill>
                                <a:effectLst/>
                                <a:latin typeface="Cambria Math" panose="02040503050406030204" pitchFamily="18" charset="0"/>
                                <a:ea typeface="+mn-ea"/>
                                <a:cs typeface="+mn-cs"/>
                              </a:rPr>
                            </m:ctrlPr>
                          </m:sSupPr>
                          <m:e>
                            <m:r>
                              <a:rPr lang="es-CO" sz="1000" b="1" i="1">
                                <a:solidFill>
                                  <a:schemeClr val="tx1"/>
                                </a:solidFill>
                                <a:effectLst/>
                                <a:latin typeface="Cambria Math" panose="02040503050406030204" pitchFamily="18" charset="0"/>
                                <a:ea typeface="+mn-ea"/>
                                <a:cs typeface="+mn-cs"/>
                              </a:rPr>
                              <m:t>𝒖</m:t>
                            </m:r>
                          </m:e>
                          <m:sup>
                            <m:r>
                              <a:rPr lang="es-CO" sz="1000" b="1" i="1">
                                <a:solidFill>
                                  <a:schemeClr val="tx1"/>
                                </a:solidFill>
                                <a:effectLst/>
                                <a:latin typeface="Cambria Math" panose="02040503050406030204" pitchFamily="18" charset="0"/>
                                <a:ea typeface="+mn-ea"/>
                                <a:cs typeface="+mn-cs"/>
                              </a:rPr>
                              <m:t>𝟐</m:t>
                            </m:r>
                          </m:sup>
                        </m:sSup>
                        <m:r>
                          <a:rPr lang="es-CO" sz="1000" b="1" i="1">
                            <a:solidFill>
                              <a:schemeClr val="tx1"/>
                            </a:solidFill>
                            <a:effectLst/>
                            <a:latin typeface="Cambria Math" panose="02040503050406030204" pitchFamily="18" charset="0"/>
                            <a:ea typeface="+mn-ea"/>
                            <a:cs typeface="+mn-cs"/>
                          </a:rPr>
                          <m:t>(</m:t>
                        </m:r>
                        <m:sSub>
                          <m:sSubPr>
                            <m:ctrlPr>
                              <a:rPr lang="es-CO" sz="1000" b="1" i="1">
                                <a:solidFill>
                                  <a:schemeClr val="tx1"/>
                                </a:solidFill>
                                <a:effectLst/>
                                <a:latin typeface="Cambria Math" panose="02040503050406030204" pitchFamily="18" charset="0"/>
                                <a:ea typeface="+mn-ea"/>
                                <a:cs typeface="+mn-cs"/>
                              </a:rPr>
                            </m:ctrlPr>
                          </m:sSubPr>
                          <m:e>
                            <m:r>
                              <a:rPr lang="es-CO" sz="1000" b="1" i="1">
                                <a:solidFill>
                                  <a:schemeClr val="tx1"/>
                                </a:solidFill>
                                <a:effectLst/>
                                <a:latin typeface="Cambria Math" panose="02040503050406030204" pitchFamily="18" charset="0"/>
                                <a:ea typeface="+mn-ea"/>
                                <a:cs typeface="+mn-cs"/>
                              </a:rPr>
                              <m:t>𝑽</m:t>
                            </m:r>
                          </m:e>
                          <m:sub>
                            <m:r>
                              <a:rPr lang="es-CO" sz="1000" b="1" i="1">
                                <a:solidFill>
                                  <a:schemeClr val="tx1"/>
                                </a:solidFill>
                                <a:effectLst/>
                                <a:latin typeface="Cambria Math" panose="02040503050406030204" pitchFamily="18" charset="0"/>
                                <a:ea typeface="+mn-ea"/>
                                <a:cs typeface="+mn-cs"/>
                              </a:rPr>
                              <m:t>𝒔𝒑</m:t>
                            </m:r>
                          </m:sub>
                        </m:sSub>
                        <m:r>
                          <a:rPr lang="es-CO" sz="1000" b="1" i="1">
                            <a:solidFill>
                              <a:schemeClr val="tx1"/>
                            </a:solidFill>
                            <a:effectLst/>
                            <a:latin typeface="Cambria Math" panose="02040503050406030204" pitchFamily="18" charset="0"/>
                            <a:ea typeface="+mn-ea"/>
                            <a:cs typeface="+mn-cs"/>
                          </a:rPr>
                          <m:t>)</m:t>
                        </m:r>
                        <m:nary>
                          <m:naryPr>
                            <m:chr m:val="∑"/>
                            <m:supHide m:val="on"/>
                            <m:ctrlPr>
                              <a:rPr lang="es-CO" sz="1000" b="1" i="1">
                                <a:solidFill>
                                  <a:schemeClr val="tx1"/>
                                </a:solidFill>
                                <a:effectLst/>
                                <a:latin typeface="Cambria Math" panose="02040503050406030204" pitchFamily="18" charset="0"/>
                                <a:ea typeface="+mn-ea"/>
                                <a:cs typeface="+mn-cs"/>
                              </a:rPr>
                            </m:ctrlPr>
                          </m:naryPr>
                          <m:sub>
                            <m:r>
                              <m:rPr>
                                <m:brk m:alnAt="7"/>
                              </m:rPr>
                              <a:rPr lang="es-CO" sz="1000" b="1" i="1">
                                <a:solidFill>
                                  <a:schemeClr val="tx1"/>
                                </a:solidFill>
                                <a:effectLst/>
                                <a:latin typeface="Cambria Math" panose="02040503050406030204" pitchFamily="18" charset="0"/>
                                <a:ea typeface="+mn-ea"/>
                                <a:cs typeface="+mn-cs"/>
                              </a:rPr>
                              <m:t>𝒊</m:t>
                            </m:r>
                          </m:sub>
                          <m:sup/>
                          <m:e>
                            <m:d>
                              <m:dPr>
                                <m:ctrlPr>
                                  <a:rPr lang="es-CO" sz="1000" b="1" i="1">
                                    <a:solidFill>
                                      <a:schemeClr val="tx1"/>
                                    </a:solidFill>
                                    <a:effectLst/>
                                    <a:latin typeface="Cambria Math" panose="02040503050406030204" pitchFamily="18" charset="0"/>
                                    <a:ea typeface="+mn-ea"/>
                                    <a:cs typeface="+mn-cs"/>
                                  </a:rPr>
                                </m:ctrlPr>
                              </m:dPr>
                              <m:e>
                                <m:f>
                                  <m:fPr>
                                    <m:ctrlPr>
                                      <a:rPr lang="es-CO" sz="1000" b="1" i="1">
                                        <a:solidFill>
                                          <a:schemeClr val="tx1"/>
                                        </a:solidFill>
                                        <a:effectLst/>
                                        <a:latin typeface="Cambria Math" panose="02040503050406030204" pitchFamily="18" charset="0"/>
                                        <a:ea typeface="+mn-ea"/>
                                        <a:cs typeface="+mn-cs"/>
                                      </a:rPr>
                                    </m:ctrlPr>
                                  </m:fPr>
                                  <m:num>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𝑽𝒔𝒑</m:t>
                                    </m:r>
                                  </m:num>
                                  <m:den>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den>
                                </m:f>
                                <m:r>
                                  <a:rPr lang="es-CO" sz="1000" b="1" i="1">
                                    <a:solidFill>
                                      <a:schemeClr val="tx1"/>
                                    </a:solidFill>
                                    <a:effectLst/>
                                    <a:latin typeface="Cambria Math" panose="02040503050406030204" pitchFamily="18" charset="0"/>
                                    <a:ea typeface="+mn-ea"/>
                                    <a:cs typeface="+mn-cs"/>
                                  </a:rPr>
                                  <m:t>(</m:t>
                                </m:r>
                                <m:r>
                                  <a:rPr lang="es-CO" sz="1000" b="1" i="1">
                                    <a:solidFill>
                                      <a:schemeClr val="tx1"/>
                                    </a:solidFill>
                                    <a:effectLst/>
                                    <a:latin typeface="Cambria Math" panose="02040503050406030204" pitchFamily="18" charset="0"/>
                                    <a:ea typeface="+mn-ea"/>
                                    <a:cs typeface="+mn-cs"/>
                                  </a:rPr>
                                  <m:t>𝒙𝒊</m:t>
                                </m:r>
                                <m:r>
                                  <a:rPr lang="es-CO" sz="1000" b="1" i="1">
                                    <a:solidFill>
                                      <a:schemeClr val="tx1"/>
                                    </a:solidFill>
                                    <a:effectLst/>
                                    <a:latin typeface="Cambria Math" panose="02040503050406030204" pitchFamily="18" charset="0"/>
                                    <a:ea typeface="+mn-ea"/>
                                    <a:cs typeface="+mn-cs"/>
                                  </a:rPr>
                                  <m:t>)</m:t>
                                </m:r>
                              </m:e>
                            </m:d>
                          </m:e>
                        </m:nary>
                      </m:e>
                      <m:sup>
                        <m:r>
                          <a:rPr lang="es-CO" sz="1100" b="1" i="1">
                            <a:latin typeface="Cambria Math" panose="02040503050406030204" pitchFamily="18" charset="0"/>
                          </a:rPr>
                          <m:t>𝟐</m:t>
                        </m:r>
                      </m:sup>
                    </m:sSup>
                  </m:oMath>
                </m:oMathPara>
              </a14:m>
              <a:endParaRPr lang="es-CO" sz="1100" b="1"/>
            </a:p>
          </xdr:txBody>
        </xdr:sp>
      </mc:Choice>
      <mc:Fallback xmlns="">
        <xdr:sp macro="" textlink="">
          <xdr:nvSpPr>
            <xdr:cNvPr id="42" name="CuadroTexto 41"/>
            <xdr:cNvSpPr txBox="1"/>
          </xdr:nvSpPr>
          <xdr:spPr>
            <a:xfrm>
              <a:off x="9442850" y="16104964"/>
              <a:ext cx="1415649" cy="493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1100" b="1" i="0">
                  <a:latin typeface="Cambria Math" panose="02040503050406030204" pitchFamily="18" charset="0"/>
                </a:rPr>
                <a:t>〖</a:t>
              </a:r>
              <a:r>
                <a:rPr lang="es-CO" sz="1000" b="1" i="0">
                  <a:solidFill>
                    <a:schemeClr val="tx1"/>
                  </a:solidFill>
                  <a:effectLst/>
                  <a:latin typeface="Cambria Math" panose="02040503050406030204" pitchFamily="18" charset="0"/>
                  <a:ea typeface="+mn-ea"/>
                  <a:cs typeface="+mn-cs"/>
                </a:rPr>
                <a:t>𝒖^𝟐 (𝑽_𝒔𝒑)∑_𝒊▒(𝝏𝑽𝒔𝒑/𝝏𝒙𝒊(𝒙𝒊)) </a:t>
              </a:r>
              <a:r>
                <a:rPr lang="es-CO" sz="1100" b="1" i="0">
                  <a:solidFill>
                    <a:schemeClr val="tx1"/>
                  </a:solidFill>
                  <a:effectLst/>
                  <a:latin typeface="Cambria Math" panose="02040503050406030204" pitchFamily="18" charset="0"/>
                  <a:ea typeface="+mn-ea"/>
                  <a:cs typeface="+mn-cs"/>
                </a:rPr>
                <a:t>〗^</a:t>
              </a:r>
              <a:r>
                <a:rPr lang="es-CO" sz="1100" b="1" i="0">
                  <a:latin typeface="Cambria Math" panose="02040503050406030204" pitchFamily="18" charset="0"/>
                </a:rPr>
                <a:t>𝟐</a:t>
              </a:r>
              <a:endParaRPr lang="es-CO" sz="1100" b="1"/>
            </a:p>
          </xdr:txBody>
        </xdr:sp>
      </mc:Fallback>
    </mc:AlternateContent>
    <xdr:clientData/>
  </xdr:oneCellAnchor>
  <xdr:oneCellAnchor>
    <xdr:from>
      <xdr:col>2</xdr:col>
      <xdr:colOff>262756</xdr:colOff>
      <xdr:row>33</xdr:row>
      <xdr:rowOff>122976</xdr:rowOff>
    </xdr:from>
    <xdr:ext cx="2023243" cy="250518"/>
    <mc:AlternateContent xmlns:mc="http://schemas.openxmlformats.org/markup-compatibility/2006" xmlns:a14="http://schemas.microsoft.com/office/drawing/2010/main">
      <mc:Choice Requires="a14">
        <xdr:sp macro="" textlink="">
          <xdr:nvSpPr>
            <xdr:cNvPr id="44" name="CuadroTexto 43">
              <a:extLst>
                <a:ext uri="{FF2B5EF4-FFF2-40B4-BE49-F238E27FC236}">
                  <a16:creationId xmlns="" xmlns:a16="http://schemas.microsoft.com/office/drawing/2014/main" id="{00000000-0008-0000-0300-00002C000000}"/>
                </a:ext>
              </a:extLst>
            </xdr:cNvPr>
            <xdr:cNvSpPr txBox="1"/>
          </xdr:nvSpPr>
          <xdr:spPr>
            <a:xfrm>
              <a:off x="2358256" y="14941155"/>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14:m>
                <m:oMath xmlns:m="http://schemas.openxmlformats.org/officeDocument/2006/math">
                  <m:sSub>
                    <m:sSubPr>
                      <m:ctrlPr>
                        <a:rPr lang="es-CO" sz="800" b="1" i="1">
                          <a:latin typeface="Cambria Math" panose="02040503050406030204" pitchFamily="18" charset="0"/>
                        </a:rPr>
                      </m:ctrlPr>
                    </m:sSubPr>
                    <m:e>
                      <m:r>
                        <m:rPr>
                          <m:nor/>
                        </m:rPr>
                        <a:rPr lang="es-CO" sz="800" b="1">
                          <a:solidFill>
                            <a:schemeClr val="tx1"/>
                          </a:solidFill>
                          <a:effectLst/>
                          <a:latin typeface="+mn-lt"/>
                          <a:ea typeface="+mn-ea"/>
                          <a:cs typeface="+mn-cs"/>
                        </a:rPr>
                        <m:t>V</m:t>
                      </m:r>
                    </m:e>
                    <m:sub>
                      <m:r>
                        <a:rPr lang="es-CO" sz="800" b="1" i="1">
                          <a:latin typeface="Cambria Math" panose="02040503050406030204" pitchFamily="18" charset="0"/>
                        </a:rPr>
                        <m:t>𝑴𝒂𝒙</m:t>
                      </m:r>
                    </m:sub>
                  </m:sSub>
                </m:oMath>
              </a14:m>
              <a:r>
                <a:rPr lang="es-CO" sz="800" b="1"/>
                <a:t>) =</a:t>
              </a:r>
              <a:r>
                <a:rPr lang="es-CO" sz="800" b="1" baseline="0"/>
                <a:t> </a:t>
              </a:r>
              <a14:m>
                <m:oMath xmlns:m="http://schemas.openxmlformats.org/officeDocument/2006/math">
                  <m:rad>
                    <m:radPr>
                      <m:degHide m:val="on"/>
                      <m:ctrlPr>
                        <a:rPr lang="es-CO" sz="800" b="1" i="1" baseline="0">
                          <a:latin typeface="Cambria Math" panose="02040503050406030204" pitchFamily="18" charset="0"/>
                        </a:rPr>
                      </m:ctrlPr>
                    </m:radPr>
                    <m:deg/>
                    <m:e>
                      <m:sSubSup>
                        <m:sSubSupPr>
                          <m:ctrlPr>
                            <a:rPr lang="es-CO" sz="800" b="1" i="1" baseline="0">
                              <a:latin typeface="Cambria Math" panose="02040503050406030204" pitchFamily="18" charset="0"/>
                            </a:rPr>
                          </m:ctrlPr>
                        </m:sSubSupPr>
                        <m:e>
                          <m:r>
                            <a:rPr lang="es-CO" sz="800" b="1" i="1" baseline="0">
                              <a:latin typeface="Cambria Math" panose="02040503050406030204" pitchFamily="18" charset="0"/>
                            </a:rPr>
                            <m:t>𝒖</m:t>
                          </m:r>
                        </m:e>
                        <m:sub>
                          <m:r>
                            <a:rPr lang="es-CO" sz="800" b="1" i="1" baseline="0">
                              <a:latin typeface="Cambria Math" panose="02040503050406030204" pitchFamily="18" charset="0"/>
                            </a:rPr>
                            <m:t>𝒄𝒂𝒍</m:t>
                          </m:r>
                        </m:sub>
                        <m:sup>
                          <m:r>
                            <a:rPr lang="es-CO" sz="800" b="1" i="1" baseline="0">
                              <a:latin typeface="Cambria Math" panose="02040503050406030204" pitchFamily="18" charset="0"/>
                            </a:rPr>
                            <m:t>𝟐</m:t>
                          </m:r>
                        </m:sup>
                      </m:sSubSup>
                    </m:e>
                  </m:rad>
                  <m:r>
                    <a:rPr lang="es-CO" sz="800" b="1" i="1" baseline="0">
                      <a:latin typeface="Cambria Math" panose="02040503050406030204" pitchFamily="18" charset="0"/>
                    </a:rPr>
                    <m:t>(</m:t>
                  </m:r>
                  <m:sSub>
                    <m:sSubPr>
                      <m:ctrlPr>
                        <a:rPr lang="es-CO" sz="800" b="1" i="1" baseline="0">
                          <a:latin typeface="Cambria Math" panose="02040503050406030204" pitchFamily="18" charset="0"/>
                        </a:rPr>
                      </m:ctrlPr>
                    </m:sSubPr>
                    <m:e>
                      <m:r>
                        <a:rPr lang="es-CO" sz="800" b="1" i="1" baseline="0">
                          <a:latin typeface="Cambria Math" panose="02040503050406030204" pitchFamily="18" charset="0"/>
                        </a:rPr>
                        <m:t>𝑽</m:t>
                      </m:r>
                    </m:e>
                    <m:sub>
                      <m:r>
                        <a:rPr lang="es-CO" sz="800" b="1" i="1" baseline="0">
                          <a:latin typeface="Cambria Math" panose="02040503050406030204" pitchFamily="18" charset="0"/>
                        </a:rPr>
                        <m:t>𝒔𝒑</m:t>
                      </m:r>
                    </m:sub>
                  </m:sSub>
                  <m:r>
                    <a:rPr lang="es-CO" sz="800" b="1" i="1" baseline="0">
                      <a:latin typeface="Cambria Math" panose="02040503050406030204" pitchFamily="18" charset="0"/>
                    </a:rPr>
                    <m:t>)</m:t>
                  </m:r>
                </m:oMath>
              </a14:m>
              <a:r>
                <a:rPr lang="es-CO" sz="800" b="1"/>
                <a:t> + </a:t>
              </a:r>
              <a14:m>
                <m:oMath xmlns:m="http://schemas.openxmlformats.org/officeDocument/2006/math">
                  <m:sSup>
                    <m:sSupPr>
                      <m:ctrlPr>
                        <a:rPr lang="es-CO" sz="800" b="1" i="1">
                          <a:latin typeface="Cambria Math" panose="02040503050406030204" pitchFamily="18" charset="0"/>
                        </a:rPr>
                      </m:ctrlPr>
                    </m:sSupPr>
                    <m:e>
                      <m:r>
                        <m:rPr>
                          <m:nor/>
                        </m:rPr>
                        <a:rPr lang="es-CO" sz="800" b="1">
                          <a:solidFill>
                            <a:schemeClr val="tx1"/>
                          </a:solidFill>
                          <a:effectLst/>
                          <a:latin typeface="+mn-lt"/>
                          <a:ea typeface="+mn-ea"/>
                          <a:cs typeface="+mn-cs"/>
                        </a:rPr>
                        <m:t>(</m:t>
                      </m:r>
                      <m:f>
                        <m:fPr>
                          <m:ctrlPr>
                            <a:rPr lang="es-CO" sz="800" b="1" i="1">
                              <a:solidFill>
                                <a:schemeClr val="tx1"/>
                              </a:solidFill>
                              <a:effectLst/>
                              <a:latin typeface="Cambria Math" panose="02040503050406030204" pitchFamily="18" charset="0"/>
                              <a:ea typeface="+mn-ea"/>
                              <a:cs typeface="+mn-cs"/>
                            </a:rPr>
                          </m:ctrlPr>
                        </m:fPr>
                        <m:num>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𝑴𝒂𝒙</m:t>
                              </m:r>
                            </m:sub>
                          </m:sSub>
                          <m:r>
                            <a:rPr lang="es-CO" sz="800" b="1" i="1">
                              <a:solidFill>
                                <a:schemeClr val="tx1"/>
                              </a:solidFill>
                              <a:effectLst/>
                              <a:latin typeface="Cambria Math" panose="02040503050406030204" pitchFamily="18" charset="0"/>
                              <a:ea typeface="+mn-ea"/>
                              <a:cs typeface="+mn-cs"/>
                            </a:rPr>
                            <m:t> − </m:t>
                          </m:r>
                          <m:sSub>
                            <m:sSubPr>
                              <m:ctrlPr>
                                <a:rPr lang="es-CO" sz="800" b="1" i="1">
                                  <a:solidFill>
                                    <a:schemeClr val="tx1"/>
                                  </a:solidFill>
                                  <a:effectLst/>
                                  <a:latin typeface="Cambria Math" panose="02040503050406030204" pitchFamily="18" charset="0"/>
                                  <a:ea typeface="+mn-ea"/>
                                  <a:cs typeface="+mn-cs"/>
                                </a:rPr>
                              </m:ctrlPr>
                            </m:sSubPr>
                            <m:e>
                              <m:r>
                                <a:rPr lang="es-CO" sz="800" b="1" i="1">
                                  <a:solidFill>
                                    <a:schemeClr val="tx1"/>
                                  </a:solidFill>
                                  <a:effectLst/>
                                  <a:latin typeface="Cambria Math" panose="02040503050406030204" pitchFamily="18" charset="0"/>
                                  <a:ea typeface="+mn-ea"/>
                                  <a:cs typeface="+mn-cs"/>
                                </a:rPr>
                                <m:t>𝑬</m:t>
                              </m:r>
                            </m:e>
                            <m:sub>
                              <m:r>
                                <a:rPr lang="es-CO" sz="800" b="1" i="1">
                                  <a:solidFill>
                                    <a:schemeClr val="tx1"/>
                                  </a:solidFill>
                                  <a:effectLst/>
                                  <a:latin typeface="Cambria Math" panose="02040503050406030204" pitchFamily="18" charset="0"/>
                                  <a:ea typeface="+mn-ea"/>
                                  <a:cs typeface="+mn-cs"/>
                                </a:rPr>
                                <m:t>𝑴𝒊𝒏</m:t>
                              </m:r>
                            </m:sub>
                          </m:sSub>
                        </m:num>
                        <m:den>
                          <m:rad>
                            <m:radPr>
                              <m:degHide m:val="on"/>
                              <m:ctrlPr>
                                <a:rPr lang="es-CO" sz="800" b="1" i="1">
                                  <a:solidFill>
                                    <a:schemeClr val="tx1"/>
                                  </a:solidFill>
                                  <a:effectLst/>
                                  <a:latin typeface="Cambria Math" panose="02040503050406030204" pitchFamily="18" charset="0"/>
                                  <a:ea typeface="+mn-ea"/>
                                  <a:cs typeface="+mn-cs"/>
                                </a:rPr>
                              </m:ctrlPr>
                            </m:radPr>
                            <m:deg/>
                            <m:e>
                              <m:r>
                                <a:rPr lang="es-CO" sz="800" b="1" i="1">
                                  <a:solidFill>
                                    <a:schemeClr val="tx1"/>
                                  </a:solidFill>
                                  <a:effectLst/>
                                  <a:latin typeface="Cambria Math" panose="02040503050406030204" pitchFamily="18" charset="0"/>
                                  <a:ea typeface="+mn-ea"/>
                                  <a:cs typeface="+mn-cs"/>
                                </a:rPr>
                                <m:t>𝟏𝟐</m:t>
                              </m:r>
                            </m:e>
                          </m:rad>
                        </m:den>
                      </m:f>
                      <m:r>
                        <m:rPr>
                          <m:nor/>
                        </m:rPr>
                        <a:rPr lang="es-CO" sz="800" b="1">
                          <a:solidFill>
                            <a:schemeClr val="tx1"/>
                          </a:solidFill>
                          <a:effectLst/>
                          <a:latin typeface="+mn-lt"/>
                          <a:ea typeface="+mn-ea"/>
                          <a:cs typeface="+mn-cs"/>
                        </a:rPr>
                        <m:t>)</m:t>
                      </m:r>
                      <m:r>
                        <m:rPr>
                          <m:nor/>
                        </m:rPr>
                        <a:rPr lang="es-CO" sz="800" b="1">
                          <a:effectLst/>
                        </a:rPr>
                        <m:t> </m:t>
                      </m:r>
                    </m:e>
                    <m:sup>
                      <m:r>
                        <a:rPr lang="es-CO" sz="800" b="1" i="1">
                          <a:latin typeface="Cambria Math" panose="02040503050406030204" pitchFamily="18" charset="0"/>
                        </a:rPr>
                        <m:t>𝟐</m:t>
                      </m:r>
                    </m:sup>
                  </m:sSup>
                </m:oMath>
              </a14:m>
              <a:endParaRPr lang="es-CO" sz="800" b="1"/>
            </a:p>
          </xdr:txBody>
        </xdr:sp>
      </mc:Choice>
      <mc:Fallback xmlns="">
        <xdr:sp macro="" textlink="">
          <xdr:nvSpPr>
            <xdr:cNvPr id="44" name="CuadroTexto 43"/>
            <xdr:cNvSpPr txBox="1"/>
          </xdr:nvSpPr>
          <xdr:spPr>
            <a:xfrm>
              <a:off x="2358256" y="14941155"/>
              <a:ext cx="2023243" cy="250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800" b="1"/>
                <a:t>u (</a:t>
              </a:r>
              <a:r>
                <a:rPr lang="es-CO" sz="800" b="1" i="0">
                  <a:solidFill>
                    <a:schemeClr val="tx1"/>
                  </a:solidFill>
                  <a:effectLst/>
                  <a:latin typeface="+mn-lt"/>
                  <a:ea typeface="+mn-ea"/>
                  <a:cs typeface="+mn-cs"/>
                </a:rPr>
                <a:t>"V</a:t>
              </a:r>
              <a:r>
                <a:rPr lang="es-CO" sz="800" b="1" i="0">
                  <a:solidFill>
                    <a:schemeClr val="tx1"/>
                  </a:solidFill>
                  <a:effectLst/>
                  <a:latin typeface="Cambria Math" panose="02040503050406030204" pitchFamily="18" charset="0"/>
                  <a:ea typeface="+mn-ea"/>
                  <a:cs typeface="+mn-cs"/>
                </a:rPr>
                <a:t>" _</a:t>
              </a:r>
              <a:r>
                <a:rPr lang="es-CO" sz="800" b="1" i="0">
                  <a:latin typeface="Cambria Math" panose="02040503050406030204" pitchFamily="18" charset="0"/>
                </a:rPr>
                <a:t>𝑴𝒂𝒙</a:t>
              </a:r>
              <a:r>
                <a:rPr lang="es-CO" sz="800" b="1"/>
                <a:t>) =</a:t>
              </a:r>
              <a:r>
                <a:rPr lang="es-CO" sz="800" b="1" baseline="0"/>
                <a:t> </a:t>
              </a:r>
              <a:r>
                <a:rPr lang="es-CO" sz="800" b="1" i="0" baseline="0">
                  <a:latin typeface="Cambria Math" panose="02040503050406030204" pitchFamily="18" charset="0"/>
                </a:rPr>
                <a:t>√(𝒖_𝒄𝒂𝒍^𝟐 )(𝑽_𝒔𝒑)</a:t>
              </a:r>
              <a:r>
                <a:rPr lang="es-CO" sz="800" b="1"/>
                <a:t> + </a:t>
              </a:r>
              <a:r>
                <a:rPr lang="es-CO" sz="800" b="1" i="0">
                  <a:latin typeface="Cambria Math" panose="02040503050406030204" pitchFamily="18" charset="0"/>
                </a:rPr>
                <a:t>〖</a:t>
              </a:r>
              <a:r>
                <a:rPr lang="es-CO" sz="800" b="1" i="0">
                  <a:solidFill>
                    <a:schemeClr val="tx1"/>
                  </a:solidFill>
                  <a:effectLst/>
                  <a:latin typeface="+mn-lt"/>
                  <a:ea typeface="+mn-ea"/>
                  <a:cs typeface="+mn-cs"/>
                </a:rPr>
                <a:t>"(</a:t>
              </a:r>
              <a:r>
                <a:rPr lang="es-CO" sz="800" b="1" i="0">
                  <a:solidFill>
                    <a:schemeClr val="tx1"/>
                  </a:solidFill>
                  <a:effectLst/>
                  <a:latin typeface="Cambria Math" panose="02040503050406030204" pitchFamily="18" charset="0"/>
                  <a:ea typeface="+mn-ea"/>
                  <a:cs typeface="+mn-cs"/>
                </a:rPr>
                <a:t>"  (𝑬_𝑴𝒂𝒙  − 𝑬_𝑴𝒊𝒏)/√𝟏𝟐</a:t>
              </a:r>
              <a:r>
                <a:rPr lang="es-CO" sz="800" b="1" i="0">
                  <a:solidFill>
                    <a:schemeClr val="tx1"/>
                  </a:solidFill>
                  <a:effectLst/>
                  <a:latin typeface="+mn-lt"/>
                  <a:ea typeface="+mn-ea"/>
                  <a:cs typeface="+mn-cs"/>
                </a:rPr>
                <a:t> ")</a:t>
              </a:r>
              <a:r>
                <a:rPr lang="es-CO" sz="800" b="1" i="0">
                  <a:effectLst/>
                </a:rPr>
                <a:t> </a:t>
              </a:r>
              <a:r>
                <a:rPr lang="es-CO" sz="800" b="1" i="0">
                  <a:effectLst/>
                  <a:latin typeface="Cambria Math" panose="02040503050406030204" pitchFamily="18" charset="0"/>
                </a:rPr>
                <a:t>" 〗^</a:t>
              </a:r>
              <a:r>
                <a:rPr lang="es-CO" sz="800" b="1" i="0">
                  <a:latin typeface="Cambria Math" panose="02040503050406030204" pitchFamily="18" charset="0"/>
                </a:rPr>
                <a:t>𝟐</a:t>
              </a:r>
              <a:endParaRPr lang="es-CO" sz="800" b="1"/>
            </a:p>
          </xdr:txBody>
        </xdr:sp>
      </mc:Fallback>
    </mc:AlternateContent>
    <xdr:clientData/>
  </xdr:oneCellAnchor>
  <xdr:oneCellAnchor>
    <xdr:from>
      <xdr:col>2</xdr:col>
      <xdr:colOff>404197</xdr:colOff>
      <xdr:row>43</xdr:row>
      <xdr:rowOff>231322</xdr:rowOff>
    </xdr:from>
    <xdr:ext cx="575517" cy="172227"/>
    <mc:AlternateContent xmlns:mc="http://schemas.openxmlformats.org/markup-compatibility/2006" xmlns:a14="http://schemas.microsoft.com/office/drawing/2010/main">
      <mc:Choice Requires="a14">
        <xdr:sp macro="" textlink="">
          <xdr:nvSpPr>
            <xdr:cNvPr id="45" name="CuadroTexto 44">
              <a:extLst>
                <a:ext uri="{FF2B5EF4-FFF2-40B4-BE49-F238E27FC236}">
                  <a16:creationId xmlns="" xmlns:a16="http://schemas.microsoft.com/office/drawing/2014/main" id="{00000000-0008-0000-0300-00002D000000}"/>
                </a:ext>
              </a:extLst>
            </xdr:cNvPr>
            <xdr:cNvSpPr txBox="1"/>
          </xdr:nvSpPr>
          <xdr:spPr>
            <a:xfrm>
              <a:off x="2499697" y="19635108"/>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14:m>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𝑽</m:t>
                      </m:r>
                    </m:e>
                    <m:sub>
                      <m:r>
                        <a:rPr lang="es-CO" sz="1100" b="1" i="1">
                          <a:latin typeface="Cambria Math" panose="02040503050406030204" pitchFamily="18" charset="0"/>
                        </a:rPr>
                        <m:t>𝒎𝒊𝒏</m:t>
                      </m:r>
                    </m:sub>
                  </m:sSub>
                </m:oMath>
              </a14:m>
              <a:r>
                <a:rPr lang="es-CO" sz="1100" b="1"/>
                <a:t>)</a:t>
              </a:r>
            </a:p>
          </xdr:txBody>
        </xdr:sp>
      </mc:Choice>
      <mc:Fallback xmlns="">
        <xdr:sp macro="" textlink="">
          <xdr:nvSpPr>
            <xdr:cNvPr id="45" name="CuadroTexto 44"/>
            <xdr:cNvSpPr txBox="1"/>
          </xdr:nvSpPr>
          <xdr:spPr>
            <a:xfrm>
              <a:off x="2499697" y="19635108"/>
              <a:ext cx="57551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t>u (</a:t>
              </a:r>
              <a:r>
                <a:rPr lang="es-CO" sz="1100" b="1" i="0">
                  <a:latin typeface="Cambria Math" panose="02040503050406030204" pitchFamily="18" charset="0"/>
                </a:rPr>
                <a:t>𝑽_𝒎𝒊𝒏</a:t>
              </a:r>
              <a:r>
                <a:rPr lang="es-CO" sz="1100" b="1"/>
                <a:t>)</a:t>
              </a:r>
            </a:p>
          </xdr:txBody>
        </xdr:sp>
      </mc:Fallback>
    </mc:AlternateContent>
    <xdr:clientData/>
  </xdr:oneCellAnchor>
  <xdr:oneCellAnchor>
    <xdr:from>
      <xdr:col>20</xdr:col>
      <xdr:colOff>134471</xdr:colOff>
      <xdr:row>17</xdr:row>
      <xdr:rowOff>123265</xdr:rowOff>
    </xdr:from>
    <xdr:ext cx="681319" cy="175113"/>
    <mc:AlternateContent xmlns:mc="http://schemas.openxmlformats.org/markup-compatibility/2006" xmlns:a14="http://schemas.microsoft.com/office/drawing/2010/main">
      <mc:Choice Requires="a14">
        <xdr:sp macro="" textlink="">
          <xdr:nvSpPr>
            <xdr:cNvPr id="47" name="CuadroTexto 46">
              <a:extLst>
                <a:ext uri="{FF2B5EF4-FFF2-40B4-BE49-F238E27FC236}">
                  <a16:creationId xmlns="" xmlns:a16="http://schemas.microsoft.com/office/drawing/2014/main" id="{00000000-0008-0000-0300-00002F000000}"/>
                </a:ext>
              </a:extLst>
            </xdr:cNvPr>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sSub>
                          <m:sSubPr>
                            <m:ctrlPr>
                              <a:rPr lang="es-CO" sz="1100" b="1" i="1">
                                <a:solidFill>
                                  <a:schemeClr val="bg1"/>
                                </a:solidFill>
                                <a:effectLst/>
                                <a:latin typeface="Cambria Math" panose="02040503050406030204" pitchFamily="18" charset="0"/>
                                <a:ea typeface="+mn-ea"/>
                                <a:cs typeface="+mn-cs"/>
                              </a:rPr>
                            </m:ctrlPr>
                          </m:sSubPr>
                          <m:e>
                            <m:r>
                              <a:rPr lang="es-CO" sz="1100" b="1" i="1">
                                <a:solidFill>
                                  <a:schemeClr val="bg1"/>
                                </a:solidFill>
                                <a:effectLst/>
                                <a:latin typeface="Cambria Math" panose="02040503050406030204" pitchFamily="18" charset="0"/>
                                <a:ea typeface="+mn-ea"/>
                                <a:cs typeface="+mn-cs"/>
                              </a:rPr>
                              <m:t>𝑽</m:t>
                            </m:r>
                          </m:e>
                          <m:sub>
                            <m:r>
                              <a:rPr lang="es-CO" sz="1100" b="1" i="1">
                                <a:solidFill>
                                  <a:schemeClr val="bg1"/>
                                </a:solidFill>
                                <a:effectLst/>
                                <a:latin typeface="Cambria Math" panose="02040503050406030204" pitchFamily="18" charset="0"/>
                                <a:ea typeface="+mn-ea"/>
                                <a:cs typeface="+mn-cs"/>
                              </a:rPr>
                              <m:t>𝑴𝒊𝒏</m:t>
                            </m:r>
                          </m:sub>
                        </m:sSub>
                      </m:e>
                    </m:acc>
                  </m:oMath>
                </m:oMathPara>
              </a14:m>
              <a:endParaRPr lang="es-CO" sz="1100" b="1">
                <a:solidFill>
                  <a:schemeClr val="bg1"/>
                </a:solidFill>
              </a:endParaRPr>
            </a:p>
          </xdr:txBody>
        </xdr:sp>
      </mc:Choice>
      <mc:Fallback xmlns="">
        <xdr:sp macro="" textlink="">
          <xdr:nvSpPr>
            <xdr:cNvPr id="47" name="CuadroTexto 46"/>
            <xdr:cNvSpPr txBox="1"/>
          </xdr:nvSpPr>
          <xdr:spPr>
            <a:xfrm>
              <a:off x="12936071" y="6524065"/>
              <a:ext cx="68131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effectLst/>
                  <a:latin typeface="Cambria Math" panose="02040503050406030204" pitchFamily="18" charset="0"/>
                  <a:ea typeface="+mn-ea"/>
                  <a:cs typeface="+mn-cs"/>
                </a:rPr>
                <a:t>𝑽_𝑴𝒊𝒏 ) ̅</a:t>
              </a:r>
              <a:endParaRPr lang="es-CO" sz="1100" b="1">
                <a:solidFill>
                  <a:schemeClr val="bg1"/>
                </a:solidFill>
              </a:endParaRPr>
            </a:p>
          </xdr:txBody>
        </xdr:sp>
      </mc:Fallback>
    </mc:AlternateContent>
    <xdr:clientData/>
  </xdr:oneCellAnchor>
  <xdr:oneCellAnchor>
    <xdr:from>
      <xdr:col>2</xdr:col>
      <xdr:colOff>316673</xdr:colOff>
      <xdr:row>42</xdr:row>
      <xdr:rowOff>217716</xdr:rowOff>
    </xdr:from>
    <xdr:ext cx="622220" cy="172227"/>
    <mc:AlternateContent xmlns:mc="http://schemas.openxmlformats.org/markup-compatibility/2006" xmlns:a14="http://schemas.microsoft.com/office/drawing/2010/main">
      <mc:Choice Requires="a14">
        <xdr:sp macro="" textlink="">
          <xdr:nvSpPr>
            <xdr:cNvPr id="48" name="CuadroTexto 47">
              <a:extLst>
                <a:ext uri="{FF2B5EF4-FFF2-40B4-BE49-F238E27FC236}">
                  <a16:creationId xmlns="" xmlns:a16="http://schemas.microsoft.com/office/drawing/2014/main" id="{00000000-0008-0000-0300-000030000000}"/>
                </a:ext>
              </a:extLst>
            </xdr:cNvPr>
            <xdr:cNvSpPr txBox="1"/>
          </xdr:nvSpPr>
          <xdr:spPr>
            <a:xfrm>
              <a:off x="2412173" y="19118037"/>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14:m>
                <m:oMath xmlns:m="http://schemas.openxmlformats.org/officeDocument/2006/math">
                  <m:d>
                    <m:dPr>
                      <m:ctrlPr>
                        <a:rPr lang="es-CO" sz="1100" b="1" i="1">
                          <a:solidFill>
                            <a:sysClr val="windowText" lastClr="000000"/>
                          </a:solidFill>
                          <a:effectLst/>
                          <a:latin typeface="Cambria Math" panose="02040503050406030204" pitchFamily="18" charset="0"/>
                          <a:ea typeface="+mn-ea"/>
                          <a:cs typeface="+mn-cs"/>
                        </a:rPr>
                      </m:ctrlPr>
                    </m:dPr>
                    <m:e>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𝒎𝒂𝒙</m:t>
                          </m:r>
                        </m:sub>
                      </m:sSub>
                    </m:e>
                  </m:d>
                </m:oMath>
              </a14:m>
              <a:endParaRPr lang="es-CO" sz="1100" b="1">
                <a:solidFill>
                  <a:sysClr val="windowText" lastClr="000000"/>
                </a:solidFill>
              </a:endParaRPr>
            </a:p>
          </xdr:txBody>
        </xdr:sp>
      </mc:Choice>
      <mc:Fallback xmlns="">
        <xdr:sp macro="" textlink="">
          <xdr:nvSpPr>
            <xdr:cNvPr id="48" name="CuadroTexto 47"/>
            <xdr:cNvSpPr txBox="1"/>
          </xdr:nvSpPr>
          <xdr:spPr>
            <a:xfrm>
              <a:off x="2412173" y="19118037"/>
              <a:ext cx="62222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i="0">
                  <a:solidFill>
                    <a:sysClr val="windowText" lastClr="000000"/>
                  </a:solidFill>
                  <a:effectLst/>
                  <a:latin typeface="+mn-lt"/>
                  <a:ea typeface="+mn-ea"/>
                  <a:cs typeface="+mn-cs"/>
                </a:rPr>
                <a:t>u</a:t>
              </a:r>
              <a:r>
                <a:rPr lang="es-CO" sz="1100" b="1" i="0">
                  <a:solidFill>
                    <a:sysClr val="windowText" lastClr="000000"/>
                  </a:solidFill>
                  <a:effectLst/>
                  <a:latin typeface="Cambria Math" panose="02040503050406030204" pitchFamily="18" charset="0"/>
                  <a:ea typeface="+mn-ea"/>
                  <a:cs typeface="+mn-cs"/>
                </a:rPr>
                <a:t>(𝑽_𝒎𝒂𝒙 )</a:t>
              </a:r>
              <a:endParaRPr lang="es-CO" sz="1100" b="1">
                <a:solidFill>
                  <a:sysClr val="windowText" lastClr="000000"/>
                </a:solidFill>
              </a:endParaRPr>
            </a:p>
          </xdr:txBody>
        </xdr:sp>
      </mc:Fallback>
    </mc:AlternateContent>
    <xdr:clientData/>
  </xdr:oneCellAnchor>
  <xdr:oneCellAnchor>
    <xdr:from>
      <xdr:col>17</xdr:col>
      <xdr:colOff>342141</xdr:colOff>
      <xdr:row>9</xdr:row>
      <xdr:rowOff>163285</xdr:rowOff>
    </xdr:from>
    <xdr:ext cx="392645" cy="172227"/>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 xmlns:a16="http://schemas.microsoft.com/office/drawing/2014/main" id="{00000000-0008-0000-0300-000031000000}"/>
                </a:ext>
              </a:extLst>
            </xdr:cNvPr>
            <xdr:cNvSpPr txBox="1"/>
          </xdr:nvSpPr>
          <xdr:spPr>
            <a:xfrm>
              <a:off x="18153891" y="4694464"/>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chemeClr val="tx1"/>
                            </a:solidFill>
                            <a:effectLst/>
                            <a:latin typeface="Cambria Math" panose="02040503050406030204" pitchFamily="18" charset="0"/>
                            <a:ea typeface="+mn-ea"/>
                            <a:cs typeface="+mn-cs"/>
                          </a:rPr>
                        </m:ctrlPr>
                      </m:sSubPr>
                      <m:e>
                        <m:r>
                          <a:rPr lang="es-CO" sz="1100" b="1" i="1">
                            <a:solidFill>
                              <a:schemeClr val="tx1"/>
                            </a:solidFill>
                            <a:effectLst/>
                            <a:latin typeface="Cambria Math" panose="02040503050406030204" pitchFamily="18" charset="0"/>
                            <a:ea typeface="+mn-ea"/>
                            <a:cs typeface="+mn-cs"/>
                          </a:rPr>
                          <m:t>𝑽</m:t>
                        </m:r>
                      </m:e>
                      <m:sub>
                        <m:r>
                          <a:rPr lang="es-CO" sz="1100" b="1" i="1">
                            <a:solidFill>
                              <a:schemeClr val="tx1"/>
                            </a:solidFill>
                            <a:effectLst/>
                            <a:latin typeface="Cambria Math" panose="02040503050406030204" pitchFamily="18" charset="0"/>
                            <a:ea typeface="+mn-ea"/>
                            <a:cs typeface="+mn-cs"/>
                          </a:rPr>
                          <m:t>𝑴𝒂𝒙</m:t>
                        </m:r>
                      </m:sub>
                    </m:sSub>
                  </m:oMath>
                </m:oMathPara>
              </a14:m>
              <a:endParaRPr lang="es-CO" sz="1100"/>
            </a:p>
          </xdr:txBody>
        </xdr:sp>
      </mc:Choice>
      <mc:Fallback xmlns="">
        <xdr:sp macro="" textlink="">
          <xdr:nvSpPr>
            <xdr:cNvPr id="49" name="CuadroTexto 48"/>
            <xdr:cNvSpPr txBox="1"/>
          </xdr:nvSpPr>
          <xdr:spPr>
            <a:xfrm>
              <a:off x="18153891" y="4694464"/>
              <a:ext cx="39264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chemeClr val="tx1"/>
                  </a:solidFill>
                  <a:effectLst/>
                  <a:latin typeface="Cambria Math" panose="02040503050406030204" pitchFamily="18" charset="0"/>
                  <a:ea typeface="+mn-ea"/>
                  <a:cs typeface="+mn-cs"/>
                </a:rPr>
                <a:t>𝑽_𝑴𝒂𝒙</a:t>
              </a:r>
              <a:endParaRPr lang="es-CO" sz="1100"/>
            </a:p>
          </xdr:txBody>
        </xdr:sp>
      </mc:Fallback>
    </mc:AlternateContent>
    <xdr:clientData/>
  </xdr:oneCellAnchor>
  <xdr:oneCellAnchor>
    <xdr:from>
      <xdr:col>18</xdr:col>
      <xdr:colOff>199398</xdr:colOff>
      <xdr:row>9</xdr:row>
      <xdr:rowOff>174955</xdr:rowOff>
    </xdr:from>
    <xdr:ext cx="681319" cy="172227"/>
    <mc:AlternateContent xmlns:mc="http://schemas.openxmlformats.org/markup-compatibility/2006" xmlns:a14="http://schemas.microsoft.com/office/drawing/2010/main">
      <mc:Choice Requires="a14">
        <xdr:sp macro="" textlink="">
          <xdr:nvSpPr>
            <xdr:cNvPr id="50" name="CuadroTexto 49">
              <a:extLst>
                <a:ext uri="{FF2B5EF4-FFF2-40B4-BE49-F238E27FC236}">
                  <a16:creationId xmlns="" xmlns:a16="http://schemas.microsoft.com/office/drawing/2014/main" id="{00000000-0008-0000-0300-000032000000}"/>
                </a:ext>
              </a:extLst>
            </xdr:cNvPr>
            <xdr:cNvSpPr txBox="1"/>
          </xdr:nvSpPr>
          <xdr:spPr>
            <a:xfrm>
              <a:off x="19058898" y="4706134"/>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solidFill>
                              <a:sysClr val="windowText" lastClr="000000"/>
                            </a:solidFill>
                            <a:effectLst/>
                            <a:latin typeface="Cambria Math" panose="02040503050406030204" pitchFamily="18" charset="0"/>
                            <a:ea typeface="+mn-ea"/>
                            <a:cs typeface="+mn-cs"/>
                          </a:rPr>
                        </m:ctrlPr>
                      </m:sSubPr>
                      <m:e>
                        <m:r>
                          <a:rPr lang="es-CO" sz="1100" b="1" i="1">
                            <a:solidFill>
                              <a:sysClr val="windowText" lastClr="000000"/>
                            </a:solidFill>
                            <a:effectLst/>
                            <a:latin typeface="Cambria Math" panose="02040503050406030204" pitchFamily="18" charset="0"/>
                            <a:ea typeface="+mn-ea"/>
                            <a:cs typeface="+mn-cs"/>
                          </a:rPr>
                          <m:t>𝑽</m:t>
                        </m:r>
                      </m:e>
                      <m:sub>
                        <m:r>
                          <a:rPr lang="es-CO" sz="1100" b="1" i="1">
                            <a:solidFill>
                              <a:sysClr val="windowText" lastClr="000000"/>
                            </a:solidFill>
                            <a:effectLst/>
                            <a:latin typeface="Cambria Math" panose="02040503050406030204" pitchFamily="18" charset="0"/>
                            <a:ea typeface="+mn-ea"/>
                            <a:cs typeface="+mn-cs"/>
                          </a:rPr>
                          <m:t>𝑴𝒊𝒏</m:t>
                        </m:r>
                      </m:sub>
                    </m:sSub>
                  </m:oMath>
                </m:oMathPara>
              </a14:m>
              <a:endParaRPr lang="es-CO" sz="1100">
                <a:solidFill>
                  <a:sysClr val="windowText" lastClr="000000"/>
                </a:solidFill>
              </a:endParaRPr>
            </a:p>
          </xdr:txBody>
        </xdr:sp>
      </mc:Choice>
      <mc:Fallback xmlns="">
        <xdr:sp macro="" textlink="">
          <xdr:nvSpPr>
            <xdr:cNvPr id="50" name="CuadroTexto 49"/>
            <xdr:cNvSpPr txBox="1"/>
          </xdr:nvSpPr>
          <xdr:spPr>
            <a:xfrm>
              <a:off x="19058898" y="4706134"/>
              <a:ext cx="6813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1" i="0">
                  <a:solidFill>
                    <a:sysClr val="windowText" lastClr="000000"/>
                  </a:solidFill>
                  <a:effectLst/>
                  <a:latin typeface="Cambria Math" panose="02040503050406030204" pitchFamily="18" charset="0"/>
                  <a:ea typeface="+mn-ea"/>
                  <a:cs typeface="+mn-cs"/>
                </a:rPr>
                <a:t>𝑽_𝑴𝒊𝒏</a:t>
              </a:r>
              <a:endParaRPr lang="es-CO" sz="1100">
                <a:solidFill>
                  <a:sysClr val="windowText" lastClr="000000"/>
                </a:solidFill>
              </a:endParaRPr>
            </a:p>
          </xdr:txBody>
        </xdr:sp>
      </mc:Fallback>
    </mc:AlternateContent>
    <xdr:clientData/>
  </xdr:oneCellAnchor>
  <xdr:oneCellAnchor>
    <xdr:from>
      <xdr:col>16</xdr:col>
      <xdr:colOff>398346</xdr:colOff>
      <xdr:row>18</xdr:row>
      <xdr:rowOff>232833</xdr:rowOff>
    </xdr:from>
    <xdr:ext cx="2501487" cy="443583"/>
    <mc:AlternateContent xmlns:mc="http://schemas.openxmlformats.org/markup-compatibility/2006" xmlns:a14="http://schemas.microsoft.com/office/drawing/2010/main">
      <mc:Choice Requires="a14">
        <xdr:sp macro="" textlink="">
          <xdr:nvSpPr>
            <xdr:cNvPr id="51" name="CuadroTexto 50">
              <a:extLst>
                <a:ext uri="{FF2B5EF4-FFF2-40B4-BE49-F238E27FC236}">
                  <a16:creationId xmlns="" xmlns:a16="http://schemas.microsoft.com/office/drawing/2014/main" id="{00000000-0008-0000-0300-000033000000}"/>
                </a:ext>
              </a:extLst>
            </xdr:cNvPr>
            <xdr:cNvSpPr txBox="1"/>
          </xdr:nvSpPr>
          <xdr:spPr>
            <a:xfrm>
              <a:off x="17162346" y="7355416"/>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CO" sz="1400" b="1" i="1">
                            <a:solidFill>
                              <a:schemeClr val="tx1"/>
                            </a:solidFill>
                            <a:effectLst/>
                            <a:latin typeface="Cambria Math" panose="02040503050406030204" pitchFamily="18" charset="0"/>
                            <a:ea typeface="+mn-ea"/>
                            <a:cs typeface="+mn-cs"/>
                          </a:rPr>
                        </m:ctrlPr>
                      </m:fPr>
                      <m:num>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𝑴𝒂𝒙</m:t>
                            </m:r>
                          </m:sub>
                        </m:sSub>
                        <m:r>
                          <a:rPr lang="es-CO" sz="1400" b="1" i="1">
                            <a:solidFill>
                              <a:schemeClr val="tx1"/>
                            </a:solidFill>
                            <a:effectLst/>
                            <a:latin typeface="Cambria Math" panose="02040503050406030204" pitchFamily="18" charset="0"/>
                            <a:ea typeface="+mn-ea"/>
                            <a:cs typeface="+mn-cs"/>
                          </a:rPr>
                          <m:t> − </m:t>
                        </m:r>
                        <m:sSub>
                          <m:sSubPr>
                            <m:ctrlPr>
                              <a:rPr lang="es-CO" sz="1400" b="1" i="1">
                                <a:solidFill>
                                  <a:schemeClr val="tx1"/>
                                </a:solidFill>
                                <a:effectLst/>
                                <a:latin typeface="Cambria Math" panose="02040503050406030204" pitchFamily="18" charset="0"/>
                                <a:ea typeface="+mn-ea"/>
                                <a:cs typeface="+mn-cs"/>
                              </a:rPr>
                            </m:ctrlPr>
                          </m:sSubPr>
                          <m:e>
                            <m:r>
                              <a:rPr lang="es-CO" sz="1400" b="1" i="1">
                                <a:solidFill>
                                  <a:schemeClr val="tx1"/>
                                </a:solidFill>
                                <a:effectLst/>
                                <a:latin typeface="Cambria Math" panose="02040503050406030204" pitchFamily="18" charset="0"/>
                                <a:ea typeface="+mn-ea"/>
                                <a:cs typeface="+mn-cs"/>
                              </a:rPr>
                              <m:t>𝑬</m:t>
                            </m:r>
                          </m:e>
                          <m:sub>
                            <m:r>
                              <a:rPr lang="es-CO" sz="1400" b="1" i="1">
                                <a:solidFill>
                                  <a:schemeClr val="tx1"/>
                                </a:solidFill>
                                <a:effectLst/>
                                <a:latin typeface="Cambria Math" panose="02040503050406030204" pitchFamily="18" charset="0"/>
                                <a:ea typeface="+mn-ea"/>
                                <a:cs typeface="+mn-cs"/>
                              </a:rPr>
                              <m:t>𝑴𝒊𝒏</m:t>
                            </m:r>
                          </m:sub>
                        </m:sSub>
                      </m:num>
                      <m:den>
                        <m:rad>
                          <m:radPr>
                            <m:degHide m:val="on"/>
                            <m:ctrlPr>
                              <a:rPr lang="es-CO" sz="1400" b="1" i="1">
                                <a:solidFill>
                                  <a:schemeClr val="tx1"/>
                                </a:solidFill>
                                <a:effectLst/>
                                <a:latin typeface="Cambria Math" panose="02040503050406030204" pitchFamily="18" charset="0"/>
                                <a:ea typeface="+mn-ea"/>
                                <a:cs typeface="+mn-cs"/>
                              </a:rPr>
                            </m:ctrlPr>
                          </m:radPr>
                          <m:deg/>
                          <m:e>
                            <m:r>
                              <a:rPr lang="es-CO" sz="1400" b="1" i="1">
                                <a:solidFill>
                                  <a:schemeClr val="tx1"/>
                                </a:solidFill>
                                <a:effectLst/>
                                <a:latin typeface="Cambria Math" panose="02040503050406030204" pitchFamily="18" charset="0"/>
                                <a:ea typeface="+mn-ea"/>
                                <a:cs typeface="+mn-cs"/>
                              </a:rPr>
                              <m:t>𝟏𝟐</m:t>
                            </m:r>
                          </m:e>
                        </m:rad>
                      </m:den>
                    </m:f>
                  </m:oMath>
                </m:oMathPara>
              </a14:m>
              <a:endParaRPr lang="es-CO" sz="1400" b="1">
                <a:solidFill>
                  <a:schemeClr val="tx1"/>
                </a:solidFill>
                <a:latin typeface="Arial" panose="020B0604020202020204" pitchFamily="34" charset="0"/>
                <a:cs typeface="Arial" panose="020B0604020202020204" pitchFamily="34" charset="0"/>
              </a:endParaRPr>
            </a:p>
          </xdr:txBody>
        </xdr:sp>
      </mc:Choice>
      <mc:Fallback xmlns="">
        <xdr:sp macro="" textlink="">
          <xdr:nvSpPr>
            <xdr:cNvPr id="51" name="CuadroTexto 50"/>
            <xdr:cNvSpPr txBox="1"/>
          </xdr:nvSpPr>
          <xdr:spPr>
            <a:xfrm>
              <a:off x="17162346" y="7355416"/>
              <a:ext cx="2501487" cy="443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400" b="1" i="0">
                  <a:solidFill>
                    <a:schemeClr val="tx1"/>
                  </a:solidFill>
                  <a:effectLst/>
                  <a:latin typeface="Cambria Math" panose="02040503050406030204" pitchFamily="18" charset="0"/>
                  <a:ea typeface="+mn-ea"/>
                  <a:cs typeface="+mn-cs"/>
                </a:rPr>
                <a:t>(𝑬_𝑴𝒂𝒙  − 𝑬_𝑴𝒊𝒏)/√𝟏𝟐</a:t>
              </a:r>
              <a:endParaRPr lang="es-CO" sz="1400" b="1">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516714</xdr:colOff>
      <xdr:row>46</xdr:row>
      <xdr:rowOff>300465</xdr:rowOff>
    </xdr:from>
    <xdr:ext cx="413639" cy="172227"/>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 xmlns:a16="http://schemas.microsoft.com/office/drawing/2014/main" id="{00000000-0008-0000-0300-000036000000}"/>
                </a:ext>
              </a:extLst>
            </xdr:cNvPr>
            <xdr:cNvSpPr txBox="1"/>
          </xdr:nvSpPr>
          <xdr:spPr>
            <a:xfrm>
              <a:off x="2612214" y="21214644"/>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ea typeface="Cambria Math" panose="02040503050406030204" pitchFamily="18" charset="0"/>
                          </a:rPr>
                        </m:ctrlPr>
                      </m:sSubPr>
                      <m:e>
                        <m:r>
                          <a:rPr lang="es-CO" sz="1100" b="1" i="1">
                            <a:solidFill>
                              <a:schemeClr val="tx1"/>
                            </a:solidFill>
                            <a:effectLst/>
                            <a:latin typeface="Cambria Math" panose="02040503050406030204" pitchFamily="18" charset="0"/>
                            <a:ea typeface="+mn-ea"/>
                            <a:cs typeface="+mn-cs"/>
                          </a:rPr>
                          <m:t>∆</m:t>
                        </m:r>
                        <m:r>
                          <a:rPr lang="es-CO" sz="1100" b="1" i="1">
                            <a:solidFill>
                              <a:schemeClr val="tx1"/>
                            </a:solidFill>
                            <a:effectLst/>
                            <a:latin typeface="Cambria Math" panose="02040503050406030204" pitchFamily="18" charset="0"/>
                            <a:ea typeface="+mn-ea"/>
                            <a:cs typeface="+mn-cs"/>
                          </a:rPr>
                          <m:t>𝑽</m:t>
                        </m:r>
                      </m:e>
                      <m:sub>
                        <m:r>
                          <a:rPr lang="es-CO" sz="1100" b="1" i="1">
                            <a:latin typeface="Cambria Math" panose="02040503050406030204" pitchFamily="18" charset="0"/>
                            <a:ea typeface="Cambria Math" panose="02040503050406030204" pitchFamily="18" charset="0"/>
                          </a:rPr>
                          <m:t>𝒎𝒊𝒏</m:t>
                        </m:r>
                      </m:sub>
                    </m:sSub>
                  </m:oMath>
                </m:oMathPara>
              </a14:m>
              <a:endParaRPr lang="es-CO" sz="1100" b="1"/>
            </a:p>
          </xdr:txBody>
        </xdr:sp>
      </mc:Choice>
      <mc:Fallback xmlns="">
        <xdr:sp macro="" textlink="">
          <xdr:nvSpPr>
            <xdr:cNvPr id="54" name="CuadroTexto 53"/>
            <xdr:cNvSpPr txBox="1"/>
          </xdr:nvSpPr>
          <xdr:spPr>
            <a:xfrm>
              <a:off x="2612214" y="21214644"/>
              <a:ext cx="41363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a:t>
              </a:r>
              <a:r>
                <a:rPr lang="es-CO" sz="1100" b="1" i="0">
                  <a:solidFill>
                    <a:schemeClr val="tx1"/>
                  </a:solidFill>
                  <a:effectLst/>
                  <a:latin typeface="Cambria Math" panose="02040503050406030204" pitchFamily="18" charset="0"/>
                  <a:ea typeface="+mn-ea"/>
                  <a:cs typeface="+mn-cs"/>
                </a:rPr>
                <a:t>∆𝑽</a:t>
              </a:r>
              <a:r>
                <a:rPr lang="es-CO" sz="1100" b="1" i="0">
                  <a:solidFill>
                    <a:schemeClr val="tx1"/>
                  </a:solidFill>
                  <a:effectLst/>
                  <a:latin typeface="Cambria Math" panose="02040503050406030204" pitchFamily="18" charset="0"/>
                  <a:ea typeface="Cambria Math" panose="02040503050406030204" pitchFamily="18" charset="0"/>
                  <a:cs typeface="+mn-cs"/>
                </a:rPr>
                <a:t>〗_</a:t>
              </a:r>
              <a:r>
                <a:rPr lang="es-CO" sz="1100" b="1" i="0">
                  <a:latin typeface="Cambria Math" panose="02040503050406030204" pitchFamily="18" charset="0"/>
                  <a:ea typeface="Cambria Math" panose="02040503050406030204" pitchFamily="18" charset="0"/>
                </a:rPr>
                <a:t>𝒎𝒊𝒏</a:t>
              </a:r>
              <a:endParaRPr lang="es-CO" sz="1100" b="1"/>
            </a:p>
          </xdr:txBody>
        </xdr:sp>
      </mc:Fallback>
    </mc:AlternateContent>
    <xdr:clientData/>
  </xdr:oneCellAnchor>
  <xdr:oneCellAnchor>
    <xdr:from>
      <xdr:col>12</xdr:col>
      <xdr:colOff>323850</xdr:colOff>
      <xdr:row>49</xdr:row>
      <xdr:rowOff>109537</xdr:rowOff>
    </xdr:from>
    <xdr:ext cx="345864" cy="172227"/>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 xmlns:a16="http://schemas.microsoft.com/office/drawing/2014/main" id="{00000000-0008-0000-0300-000039000000}"/>
                </a:ext>
              </a:extLst>
            </xdr:cNvPr>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r>
                      <a:rPr lang="es-CO" sz="1100" b="1" i="1">
                        <a:latin typeface="Cambria Math" panose="02040503050406030204" pitchFamily="18" charset="0"/>
                      </a:rPr>
                      <m:t>𝑫</m:t>
                    </m:r>
                    <m:r>
                      <a:rPr lang="es-CO" sz="1100" b="1" i="1">
                        <a:latin typeface="Cambria Math" panose="02040503050406030204" pitchFamily="18" charset="0"/>
                      </a:rPr>
                      <m:t>)</m:t>
                    </m:r>
                  </m:oMath>
                </m:oMathPara>
              </a14:m>
              <a:endParaRPr lang="es-CO" sz="1100" b="1"/>
            </a:p>
          </xdr:txBody>
        </xdr:sp>
      </mc:Choice>
      <mc:Fallback xmlns="">
        <xdr:sp macro="" textlink="">
          <xdr:nvSpPr>
            <xdr:cNvPr id="57" name="CuadroTexto 56"/>
            <xdr:cNvSpPr txBox="1"/>
          </xdr:nvSpPr>
          <xdr:spPr>
            <a:xfrm>
              <a:off x="11296650" y="16111537"/>
              <a:ext cx="34586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𝒖(𝑫)</a:t>
              </a:r>
              <a:endParaRPr lang="es-CO" sz="1100" b="1"/>
            </a:p>
          </xdr:txBody>
        </xdr:sp>
      </mc:Fallback>
    </mc:AlternateContent>
    <xdr:clientData/>
  </xdr:oneCellAnchor>
  <xdr:twoCellAnchor>
    <xdr:from>
      <xdr:col>0</xdr:col>
      <xdr:colOff>314325</xdr:colOff>
      <xdr:row>0</xdr:row>
      <xdr:rowOff>76200</xdr:rowOff>
    </xdr:from>
    <xdr:to>
      <xdr:col>2</xdr:col>
      <xdr:colOff>573792</xdr:colOff>
      <xdr:row>0</xdr:row>
      <xdr:rowOff>905435</xdr:rowOff>
    </xdr:to>
    <xdr:pic>
      <xdr:nvPicPr>
        <xdr:cNvPr id="59" name="Picture 50" descr="\\Abeltran\publico\Logo completo.gif">
          <a:extLst>
            <a:ext uri="{FF2B5EF4-FFF2-40B4-BE49-F238E27FC236}">
              <a16:creationId xmlns=""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314325" y="76200"/>
          <a:ext cx="2088267" cy="829235"/>
        </a:xfrm>
        <a:prstGeom prst="rect">
          <a:avLst/>
        </a:prstGeom>
        <a:noFill/>
        <a:ln w="9525">
          <a:noFill/>
          <a:miter lim="800000"/>
          <a:headEnd/>
          <a:tailEnd/>
        </a:ln>
      </xdr:spPr>
    </xdr:pic>
    <xdr:clientData/>
  </xdr:twoCellAnchor>
  <xdr:twoCellAnchor>
    <xdr:from>
      <xdr:col>12</xdr:col>
      <xdr:colOff>9525</xdr:colOff>
      <xdr:row>10</xdr:row>
      <xdr:rowOff>0</xdr:rowOff>
    </xdr:from>
    <xdr:to>
      <xdr:col>14</xdr:col>
      <xdr:colOff>1009650</xdr:colOff>
      <xdr:row>12</xdr:row>
      <xdr:rowOff>485775</xdr:rowOff>
    </xdr:to>
    <xdr:cxnSp macro="">
      <xdr:nvCxnSpPr>
        <xdr:cNvPr id="61" name="Conector recto de flecha 60">
          <a:extLst>
            <a:ext uri="{FF2B5EF4-FFF2-40B4-BE49-F238E27FC236}">
              <a16:creationId xmlns="" xmlns:a16="http://schemas.microsoft.com/office/drawing/2014/main" id="{00000000-0008-0000-0300-00003D000000}"/>
            </a:ext>
          </a:extLst>
        </xdr:cNvPr>
        <xdr:cNvCxnSpPr/>
      </xdr:nvCxnSpPr>
      <xdr:spPr>
        <a:xfrm flipV="1">
          <a:off x="12582525" y="5124450"/>
          <a:ext cx="3095625" cy="1514475"/>
        </a:xfrm>
        <a:prstGeom prst="straightConnector1">
          <a:avLst/>
        </a:prstGeom>
        <a:ln w="28575">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371814</xdr:colOff>
      <xdr:row>60</xdr:row>
      <xdr:rowOff>41388</xdr:rowOff>
    </xdr:from>
    <xdr:to>
      <xdr:col>9</xdr:col>
      <xdr:colOff>247989</xdr:colOff>
      <xdr:row>62</xdr:row>
      <xdr:rowOff>92755</xdr:rowOff>
    </xdr:to>
    <xdr:pic>
      <xdr:nvPicPr>
        <xdr:cNvPr id="2" name="Imagen 1">
          <a:extLst>
            <a:ext uri="{FF2B5EF4-FFF2-40B4-BE49-F238E27FC236}">
              <a16:creationId xmlns="" xmlns:a16="http://schemas.microsoft.com/office/drawing/2014/main" id="{00000000-0008-0000-0400-000002000000}"/>
            </a:ext>
          </a:extLst>
        </xdr:cNvPr>
        <xdr:cNvPicPr/>
      </xdr:nvPicPr>
      <xdr:blipFill rotWithShape="1">
        <a:blip xmlns:r="http://schemas.openxmlformats.org/officeDocument/2006/relationships" r:embed="rId1"/>
        <a:srcRect l="6907" t="24203" r="3198" b="66560"/>
        <a:stretch/>
      </xdr:blipFill>
      <xdr:spPr bwMode="auto">
        <a:xfrm>
          <a:off x="371814" y="11143966"/>
          <a:ext cx="5228034" cy="456180"/>
        </a:xfrm>
        <a:prstGeom prst="rect">
          <a:avLst/>
        </a:prstGeom>
        <a:ln w="88900" cap="sq" cmpd="thickThin">
          <a:solidFill>
            <a:srgbClr val="000000"/>
          </a:solidFill>
          <a:prstDash val="solid"/>
          <a:miter lim="800000"/>
        </a:ln>
        <a:effectLst>
          <a:innerShdw blurRad="76200">
            <a:srgbClr val="000000"/>
          </a:innerShdw>
        </a:effectLst>
        <a:extLst>
          <a:ext uri="{53640926-AAD7-44D8-BBD7-CCE9431645EC}">
            <a14:shadowObscured xmlns:a14="http://schemas.microsoft.com/office/drawing/2010/main"/>
          </a:ext>
        </a:extLst>
      </xdr:spPr>
    </xdr:pic>
    <xdr:clientData/>
  </xdr:twoCellAnchor>
  <xdr:twoCellAnchor>
    <xdr:from>
      <xdr:col>1</xdr:col>
      <xdr:colOff>55109</xdr:colOff>
      <xdr:row>67</xdr:row>
      <xdr:rowOff>42862</xdr:rowOff>
    </xdr:from>
    <xdr:to>
      <xdr:col>1</xdr:col>
      <xdr:colOff>274184</xdr:colOff>
      <xdr:row>68</xdr:row>
      <xdr:rowOff>93549</xdr:rowOff>
    </xdr:to>
    <xdr:pic>
      <xdr:nvPicPr>
        <xdr:cNvPr id="3" name="Imagen 2">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183" t="26282" r="84860" b="67474"/>
        <a:stretch>
          <a:fillRect/>
        </a:stretch>
      </xdr:blipFill>
      <xdr:spPr bwMode="auto">
        <a:xfrm>
          <a:off x="471828" y="13114224"/>
          <a:ext cx="219075" cy="2632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9525</xdr:colOff>
      <xdr:row>70</xdr:row>
      <xdr:rowOff>0</xdr:rowOff>
    </xdr:from>
    <xdr:ext cx="325755" cy="218795"/>
    <xdr:pic>
      <xdr:nvPicPr>
        <xdr:cNvPr id="4" name="Imagen 3">
          <a:extLst>
            <a:ext uri="{FF2B5EF4-FFF2-40B4-BE49-F238E27FC236}">
              <a16:creationId xmlns=""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180" t="27724" r="76804" b="66879"/>
        <a:stretch>
          <a:fillRect/>
        </a:stretch>
      </xdr:blipFill>
      <xdr:spPr bwMode="auto">
        <a:xfrm>
          <a:off x="428625" y="13068300"/>
          <a:ext cx="325755" cy="218795"/>
        </a:xfrm>
        <a:prstGeom prst="rect">
          <a:avLst/>
        </a:prstGeom>
        <a:noFill/>
        <a:ln>
          <a:noFill/>
        </a:ln>
      </xdr:spPr>
    </xdr:pic>
    <xdr:clientData/>
  </xdr:oneCellAnchor>
  <xdr:oneCellAnchor>
    <xdr:from>
      <xdr:col>1</xdr:col>
      <xdr:colOff>0</xdr:colOff>
      <xdr:row>72</xdr:row>
      <xdr:rowOff>59532</xdr:rowOff>
    </xdr:from>
    <xdr:ext cx="325755" cy="238124"/>
    <xdr:pic>
      <xdr:nvPicPr>
        <xdr:cNvPr id="5" name="Imagen 4">
          <a:extLst>
            <a:ext uri="{FF2B5EF4-FFF2-40B4-BE49-F238E27FC236}">
              <a16:creationId xmlns="" xmlns:a16="http://schemas.microsoft.com/office/drawing/2014/main" id="{00000000-0008-0000-0400-000005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l="24089" t="26923" r="72009" b="67484"/>
        <a:stretch>
          <a:fillRect/>
        </a:stretch>
      </xdr:blipFill>
      <xdr:spPr bwMode="auto">
        <a:xfrm>
          <a:off x="416719" y="14193952"/>
          <a:ext cx="325755" cy="238124"/>
        </a:xfrm>
        <a:prstGeom prst="rect">
          <a:avLst/>
        </a:prstGeom>
        <a:noFill/>
        <a:ln>
          <a:noFill/>
        </a:ln>
      </xdr:spPr>
    </xdr:pic>
    <xdr:clientData/>
  </xdr:oneCellAnchor>
  <xdr:oneCellAnchor>
    <xdr:from>
      <xdr:col>1</xdr:col>
      <xdr:colOff>19049</xdr:colOff>
      <xdr:row>75</xdr:row>
      <xdr:rowOff>0</xdr:rowOff>
    </xdr:from>
    <xdr:ext cx="314325" cy="262468"/>
    <xdr:pic>
      <xdr:nvPicPr>
        <xdr:cNvPr id="6" name="Imagen 5">
          <a:extLst>
            <a:ext uri="{FF2B5EF4-FFF2-40B4-BE49-F238E27FC236}">
              <a16:creationId xmlns="" xmlns:a16="http://schemas.microsoft.com/office/drawing/2014/main" id="{00000000-0008-0000-0400-000006000000}"/>
            </a:ext>
          </a:extLst>
        </xdr:cNvPr>
        <xdr:cNvPicPr/>
      </xdr:nvPicPr>
      <xdr:blipFill rotWithShape="1">
        <a:blip xmlns:r="http://schemas.openxmlformats.org/officeDocument/2006/relationships" r:embed="rId1"/>
        <a:srcRect l="30917" t="27092" r="66112" b="66954"/>
        <a:stretch/>
      </xdr:blipFill>
      <xdr:spPr bwMode="auto">
        <a:xfrm>
          <a:off x="438149" y="13906500"/>
          <a:ext cx="314325" cy="262468"/>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0</xdr:colOff>
      <xdr:row>77</xdr:row>
      <xdr:rowOff>0</xdr:rowOff>
    </xdr:from>
    <xdr:to>
      <xdr:col>1</xdr:col>
      <xdr:colOff>304800</xdr:colOff>
      <xdr:row>78</xdr:row>
      <xdr:rowOff>9525</xdr:rowOff>
    </xdr:to>
    <xdr:pic>
      <xdr:nvPicPr>
        <xdr:cNvPr id="7" name="Imagen 6">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37697" t="26598" r="60135" b="68105"/>
        <a:stretch>
          <a:fillRect/>
        </a:stretch>
      </xdr:blipFill>
      <xdr:spPr bwMode="auto">
        <a:xfrm>
          <a:off x="419100" y="14325600"/>
          <a:ext cx="3048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400051</xdr:colOff>
      <xdr:row>78</xdr:row>
      <xdr:rowOff>123825</xdr:rowOff>
    </xdr:from>
    <xdr:ext cx="409574" cy="322791"/>
    <xdr:pic>
      <xdr:nvPicPr>
        <xdr:cNvPr id="8" name="Imagen 7">
          <a:extLst>
            <a:ext uri="{FF2B5EF4-FFF2-40B4-BE49-F238E27FC236}">
              <a16:creationId xmlns="" xmlns:a16="http://schemas.microsoft.com/office/drawing/2014/main" id="{00000000-0008-0000-04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40720" t="26944" r="54791" b="66789"/>
        <a:stretch>
          <a:fillRect/>
        </a:stretch>
      </xdr:blipFill>
      <xdr:spPr bwMode="auto">
        <a:xfrm>
          <a:off x="400051" y="14658975"/>
          <a:ext cx="409574" cy="322791"/>
        </a:xfrm>
        <a:prstGeom prst="rect">
          <a:avLst/>
        </a:prstGeom>
        <a:noFill/>
        <a:ln>
          <a:noFill/>
        </a:ln>
      </xdr:spPr>
    </xdr:pic>
    <xdr:clientData/>
  </xdr:oneCellAnchor>
  <xdr:oneCellAnchor>
    <xdr:from>
      <xdr:col>1</xdr:col>
      <xdr:colOff>28576</xdr:colOff>
      <xdr:row>81</xdr:row>
      <xdr:rowOff>9525</xdr:rowOff>
    </xdr:from>
    <xdr:ext cx="353060" cy="195792"/>
    <xdr:pic>
      <xdr:nvPicPr>
        <xdr:cNvPr id="9" name="Imagen 8">
          <a:extLst>
            <a:ext uri="{FF2B5EF4-FFF2-40B4-BE49-F238E27FC236}">
              <a16:creationId xmlns="" xmlns:a16="http://schemas.microsoft.com/office/drawing/2014/main" id="{00000000-0008-0000-0400-00000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54910" t="28040" r="39955" b="67065"/>
        <a:stretch>
          <a:fillRect/>
        </a:stretch>
      </xdr:blipFill>
      <xdr:spPr bwMode="auto">
        <a:xfrm>
          <a:off x="447676" y="15173325"/>
          <a:ext cx="353060" cy="195792"/>
        </a:xfrm>
        <a:prstGeom prst="rect">
          <a:avLst/>
        </a:prstGeom>
        <a:noFill/>
        <a:ln>
          <a:noFill/>
        </a:ln>
      </xdr:spPr>
    </xdr:pic>
    <xdr:clientData/>
  </xdr:oneCellAnchor>
  <xdr:oneCellAnchor>
    <xdr:from>
      <xdr:col>1</xdr:col>
      <xdr:colOff>66676</xdr:colOff>
      <xdr:row>82</xdr:row>
      <xdr:rowOff>200025</xdr:rowOff>
    </xdr:from>
    <xdr:ext cx="171450" cy="190499"/>
    <xdr:pic>
      <xdr:nvPicPr>
        <xdr:cNvPr id="10" name="Imagen 9">
          <a:extLst>
            <a:ext uri="{FF2B5EF4-FFF2-40B4-BE49-F238E27FC236}">
              <a16:creationId xmlns="" xmlns:a16="http://schemas.microsoft.com/office/drawing/2014/main" id="{00000000-0008-0000-04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40720" t="26944" r="58366" b="68909"/>
        <a:stretch>
          <a:fillRect/>
        </a:stretch>
      </xdr:blipFill>
      <xdr:spPr bwMode="auto">
        <a:xfrm>
          <a:off x="485776" y="15573375"/>
          <a:ext cx="171450" cy="190499"/>
        </a:xfrm>
        <a:prstGeom prst="rect">
          <a:avLst/>
        </a:prstGeom>
        <a:noFill/>
        <a:ln>
          <a:noFill/>
        </a:ln>
      </xdr:spPr>
    </xdr:pic>
    <xdr:clientData/>
  </xdr:oneCellAnchor>
  <xdr:oneCellAnchor>
    <xdr:from>
      <xdr:col>0</xdr:col>
      <xdr:colOff>409575</xdr:colOff>
      <xdr:row>64</xdr:row>
      <xdr:rowOff>190501</xdr:rowOff>
    </xdr:from>
    <xdr:ext cx="304800" cy="244474"/>
    <xdr:pic>
      <xdr:nvPicPr>
        <xdr:cNvPr id="11" name="Imagen 10">
          <a:extLst>
            <a:ext uri="{FF2B5EF4-FFF2-40B4-BE49-F238E27FC236}">
              <a16:creationId xmlns="" xmlns:a16="http://schemas.microsoft.com/office/drawing/2014/main" id="{00000000-0008-0000-0400-00000B000000}"/>
            </a:ext>
          </a:extLst>
        </xdr:cNvPr>
        <xdr:cNvPicPr/>
      </xdr:nvPicPr>
      <xdr:blipFill rotWithShape="1">
        <a:blip xmlns:r="http://schemas.openxmlformats.org/officeDocument/2006/relationships" r:embed="rId1"/>
        <a:srcRect l="6276" t="26472" r="90088" b="67694"/>
        <a:stretch/>
      </xdr:blipFill>
      <xdr:spPr bwMode="auto">
        <a:xfrm>
          <a:off x="409575" y="12211051"/>
          <a:ext cx="304800" cy="244474"/>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9525</xdr:colOff>
      <xdr:row>88</xdr:row>
      <xdr:rowOff>85725</xdr:rowOff>
    </xdr:from>
    <xdr:ext cx="378459" cy="407318"/>
    <xdr:pic>
      <xdr:nvPicPr>
        <xdr:cNvPr id="12" name="Imagen 11">
          <a:extLst>
            <a:ext uri="{FF2B5EF4-FFF2-40B4-BE49-F238E27FC236}">
              <a16:creationId xmlns="" xmlns:a16="http://schemas.microsoft.com/office/drawing/2014/main" id="{00000000-0008-0000-0400-00000C000000}"/>
            </a:ext>
          </a:extLst>
        </xdr:cNvPr>
        <xdr:cNvPicPr/>
      </xdr:nvPicPr>
      <xdr:blipFill rotWithShape="1">
        <a:blip xmlns:r="http://schemas.openxmlformats.org/officeDocument/2006/relationships" r:embed="rId1"/>
        <a:srcRect l="90522" t="25661" r="3198" b="67370"/>
        <a:stretch/>
      </xdr:blipFill>
      <xdr:spPr bwMode="auto">
        <a:xfrm>
          <a:off x="428625" y="16716375"/>
          <a:ext cx="378459" cy="407318"/>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9525</xdr:colOff>
      <xdr:row>84</xdr:row>
      <xdr:rowOff>142874</xdr:rowOff>
    </xdr:from>
    <xdr:ext cx="390525" cy="322793"/>
    <xdr:pic>
      <xdr:nvPicPr>
        <xdr:cNvPr id="13" name="Imagen 12">
          <a:extLst>
            <a:ext uri="{FF2B5EF4-FFF2-40B4-BE49-F238E27FC236}">
              <a16:creationId xmlns="" xmlns:a16="http://schemas.microsoft.com/office/drawing/2014/main" id="{00000000-0008-0000-0400-00000D000000}"/>
            </a:ext>
          </a:extLst>
        </xdr:cNvPr>
        <xdr:cNvPicPr/>
      </xdr:nvPicPr>
      <xdr:blipFill rotWithShape="1">
        <a:blip xmlns:r="http://schemas.openxmlformats.org/officeDocument/2006/relationships" r:embed="rId1"/>
        <a:srcRect l="73767" t="26471" r="19752" b="66560"/>
        <a:stretch/>
      </xdr:blipFill>
      <xdr:spPr bwMode="auto">
        <a:xfrm>
          <a:off x="428625" y="15935324"/>
          <a:ext cx="390525" cy="322793"/>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oneCellAnchor>
    <xdr:from>
      <xdr:col>1</xdr:col>
      <xdr:colOff>19050</xdr:colOff>
      <xdr:row>86</xdr:row>
      <xdr:rowOff>123825</xdr:rowOff>
    </xdr:from>
    <xdr:ext cx="400050" cy="304800"/>
    <xdr:pic>
      <xdr:nvPicPr>
        <xdr:cNvPr id="14" name="Imagen 13">
          <a:extLst>
            <a:ext uri="{FF2B5EF4-FFF2-40B4-BE49-F238E27FC236}">
              <a16:creationId xmlns="" xmlns:a16="http://schemas.microsoft.com/office/drawing/2014/main" id="{00000000-0008-0000-0400-00000E000000}"/>
            </a:ext>
          </a:extLst>
        </xdr:cNvPr>
        <xdr:cNvPicPr/>
      </xdr:nvPicPr>
      <xdr:blipFill rotWithShape="1">
        <a:blip xmlns:r="http://schemas.openxmlformats.org/officeDocument/2006/relationships" r:embed="rId1"/>
        <a:srcRect l="82144" t="25661" r="11217" b="67371"/>
        <a:stretch/>
      </xdr:blipFill>
      <xdr:spPr bwMode="auto">
        <a:xfrm>
          <a:off x="438150" y="16335375"/>
          <a:ext cx="400050" cy="3048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P191"/>
  <sheetViews>
    <sheetView showGridLines="0" view="pageBreakPreview" topLeftCell="A49" zoomScale="80" zoomScaleNormal="50" zoomScaleSheetLayoutView="80" workbookViewId="0">
      <selection activeCell="F51" sqref="F51"/>
    </sheetView>
  </sheetViews>
  <sheetFormatPr baseColWidth="10" defaultColWidth="15.7109375" defaultRowHeight="35.1" customHeight="1" x14ac:dyDescent="0.2"/>
  <cols>
    <col min="1" max="4" width="15.7109375" style="610"/>
    <col min="5" max="5" width="19.140625" style="610" customWidth="1"/>
    <col min="6" max="9" width="15.7109375" style="610"/>
    <col min="10" max="11" width="16.5703125" style="610" customWidth="1"/>
    <col min="12" max="12" width="20.42578125" style="610" customWidth="1"/>
    <col min="13" max="14" width="16.5703125" style="610" customWidth="1"/>
    <col min="15" max="15" width="15.7109375" style="610"/>
    <col min="16" max="19" width="16.5703125" style="610" customWidth="1"/>
    <col min="20" max="22" width="15.7109375" style="614"/>
    <col min="23" max="23" width="16.5703125" style="614" customWidth="1"/>
    <col min="24" max="24" width="11.7109375" style="614" customWidth="1"/>
    <col min="25" max="25" width="18.28515625" style="614" customWidth="1"/>
    <col min="26" max="28" width="16" style="614" customWidth="1"/>
    <col min="29" max="33" width="16" style="610" customWidth="1"/>
    <col min="34" max="40" width="20.7109375" style="610" customWidth="1"/>
    <col min="41" max="42" width="15.7109375" style="610"/>
    <col min="43" max="43" width="15.7109375" style="613"/>
    <col min="44" max="45" width="15.7109375" style="610"/>
    <col min="46" max="56" width="16" style="610" customWidth="1"/>
    <col min="57" max="58" width="16" style="610" bestFit="1" customWidth="1"/>
    <col min="59" max="16384" width="15.7109375" style="610"/>
  </cols>
  <sheetData>
    <row r="1" spans="1:94" ht="80.099999999999994" customHeight="1" thickBot="1" x14ac:dyDescent="0.25">
      <c r="A1" s="607"/>
      <c r="B1" s="607"/>
      <c r="C1" s="608"/>
      <c r="D1" s="609"/>
      <c r="E1" s="1196" t="s">
        <v>424</v>
      </c>
      <c r="F1" s="1197"/>
      <c r="G1" s="1197"/>
      <c r="H1" s="1197"/>
      <c r="I1" s="1197"/>
      <c r="J1" s="1197"/>
      <c r="K1" s="1197"/>
      <c r="L1" s="1197"/>
      <c r="M1" s="1198"/>
      <c r="N1" s="607"/>
      <c r="P1" s="607"/>
      <c r="Q1" s="607"/>
      <c r="R1" s="611"/>
      <c r="S1" s="611"/>
      <c r="T1" s="611"/>
      <c r="U1" s="611"/>
      <c r="V1" s="611"/>
      <c r="W1" s="611"/>
      <c r="X1" s="611"/>
      <c r="Y1" s="611"/>
      <c r="Z1" s="611"/>
      <c r="AA1" s="611"/>
      <c r="AB1" s="611"/>
      <c r="AC1" s="611"/>
      <c r="AD1" s="611"/>
      <c r="AG1" s="607"/>
      <c r="AH1" s="607"/>
      <c r="AI1" s="611"/>
      <c r="AJ1" s="611"/>
      <c r="AK1" s="611"/>
      <c r="AL1" s="611"/>
      <c r="AM1" s="611"/>
      <c r="AN1" s="611"/>
      <c r="AO1" s="611"/>
      <c r="AP1" s="611"/>
      <c r="AQ1" s="612"/>
      <c r="AR1" s="611"/>
      <c r="AS1" s="611"/>
      <c r="AT1" s="611"/>
      <c r="AU1" s="611"/>
      <c r="AW1" s="607"/>
      <c r="AX1" s="607"/>
      <c r="AY1" s="611"/>
      <c r="AZ1" s="611"/>
      <c r="BA1" s="611"/>
      <c r="BB1" s="611"/>
      <c r="BC1" s="611"/>
      <c r="BD1" s="611"/>
      <c r="BE1" s="611"/>
      <c r="BF1" s="611"/>
      <c r="BG1" s="611"/>
      <c r="BH1" s="611"/>
      <c r="BI1" s="611"/>
      <c r="BJ1" s="611"/>
      <c r="BK1" s="611"/>
      <c r="BL1" s="611"/>
      <c r="BM1" s="611"/>
    </row>
    <row r="2" spans="1:94" ht="35.1" customHeight="1" x14ac:dyDescent="0.2">
      <c r="C2" s="607"/>
      <c r="T2" s="610"/>
      <c r="U2" s="610"/>
      <c r="V2" s="610"/>
      <c r="W2" s="610"/>
      <c r="X2" s="610"/>
      <c r="Y2" s="610"/>
      <c r="Z2" s="610"/>
      <c r="AA2" s="610"/>
      <c r="AB2" s="610"/>
    </row>
    <row r="3" spans="1:94" ht="35.1" customHeight="1" x14ac:dyDescent="0.2">
      <c r="T3" s="610"/>
      <c r="U3" s="610"/>
      <c r="V3" s="610"/>
      <c r="W3" s="610"/>
      <c r="X3" s="610"/>
      <c r="Y3" s="610"/>
      <c r="Z3" s="610"/>
      <c r="AA3" s="610"/>
      <c r="AB3" s="610"/>
      <c r="AH3" s="614"/>
      <c r="AI3" s="614"/>
      <c r="AJ3" s="614"/>
      <c r="AK3" s="614"/>
      <c r="AL3" s="614"/>
      <c r="AM3" s="614"/>
      <c r="AN3" s="614"/>
      <c r="AO3" s="614"/>
      <c r="AP3" s="614"/>
    </row>
    <row r="4" spans="1:94" ht="30" customHeight="1" thickBot="1" x14ac:dyDescent="0.25">
      <c r="T4" s="610"/>
      <c r="U4" s="610"/>
      <c r="V4" s="610"/>
      <c r="W4" s="610"/>
      <c r="X4" s="610"/>
      <c r="Y4" s="610"/>
      <c r="Z4" s="610"/>
      <c r="AA4" s="610"/>
      <c r="AB4" s="610"/>
      <c r="AV4" s="607"/>
      <c r="BE4" s="607"/>
    </row>
    <row r="5" spans="1:94" ht="69.95" customHeight="1" thickBot="1" x14ac:dyDescent="0.25">
      <c r="D5" s="1199" t="s">
        <v>388</v>
      </c>
      <c r="E5" s="1200"/>
      <c r="F5" s="1200"/>
      <c r="G5" s="1200"/>
      <c r="H5" s="1200"/>
      <c r="I5" s="1200"/>
      <c r="J5" s="1200"/>
      <c r="K5" s="1200"/>
      <c r="L5" s="1201"/>
      <c r="T5" s="610"/>
      <c r="U5" s="610"/>
      <c r="V5" s="610"/>
      <c r="W5" s="610"/>
      <c r="X5" s="610"/>
      <c r="Y5" s="610"/>
      <c r="Z5" s="610"/>
      <c r="AA5" s="610"/>
      <c r="AB5" s="610"/>
      <c r="AD5" s="615"/>
      <c r="AV5" s="607"/>
      <c r="BE5" s="616"/>
    </row>
    <row r="6" spans="1:94" ht="69.95" customHeight="1" thickBot="1" x14ac:dyDescent="0.3">
      <c r="D6" s="566" t="s">
        <v>296</v>
      </c>
      <c r="E6" s="565" t="s">
        <v>67</v>
      </c>
      <c r="F6" s="567" t="s">
        <v>389</v>
      </c>
      <c r="G6" s="567" t="s">
        <v>250</v>
      </c>
      <c r="H6" s="567" t="s">
        <v>31</v>
      </c>
      <c r="I6" s="567" t="s">
        <v>251</v>
      </c>
      <c r="J6" s="73" t="s">
        <v>66</v>
      </c>
      <c r="K6" s="73" t="s">
        <v>41</v>
      </c>
      <c r="L6" s="108" t="s">
        <v>252</v>
      </c>
      <c r="Q6" s="1202" t="s">
        <v>304</v>
      </c>
      <c r="R6" s="1203"/>
      <c r="S6" s="1203"/>
      <c r="T6" s="1203"/>
      <c r="U6" s="1203"/>
      <c r="V6" s="1204"/>
      <c r="W6" s="610"/>
      <c r="X6" s="610"/>
      <c r="AV6" s="607"/>
      <c r="BE6" s="607"/>
      <c r="BY6" s="617"/>
    </row>
    <row r="7" spans="1:94" ht="30" customHeight="1" thickBot="1" x14ac:dyDescent="0.25">
      <c r="D7" s="618"/>
      <c r="E7" s="619"/>
      <c r="F7" s="619"/>
      <c r="G7" s="619"/>
      <c r="H7" s="619"/>
      <c r="I7" s="619"/>
      <c r="J7" s="619"/>
      <c r="K7" s="619"/>
      <c r="L7" s="620"/>
      <c r="Q7" s="621" t="s">
        <v>296</v>
      </c>
      <c r="R7" s="1205" t="s">
        <v>308</v>
      </c>
      <c r="S7" s="1206"/>
      <c r="T7" s="1206"/>
      <c r="U7" s="1206"/>
      <c r="V7" s="1207"/>
      <c r="W7" s="610"/>
      <c r="X7" s="610"/>
      <c r="Y7" s="622"/>
      <c r="AD7" s="615"/>
      <c r="AV7" s="623"/>
      <c r="BE7" s="607"/>
    </row>
    <row r="8" spans="1:94" s="624" customFormat="1" ht="30" customHeight="1" x14ac:dyDescent="0.2">
      <c r="B8" s="610"/>
      <c r="C8" s="610"/>
      <c r="D8" s="625">
        <v>1</v>
      </c>
      <c r="E8" s="626" t="s">
        <v>490</v>
      </c>
      <c r="F8" s="627">
        <v>43291</v>
      </c>
      <c r="G8" s="628" t="s">
        <v>491</v>
      </c>
      <c r="H8" s="627">
        <v>43291</v>
      </c>
      <c r="I8" s="626" t="s">
        <v>492</v>
      </c>
      <c r="J8" s="626" t="s">
        <v>493</v>
      </c>
      <c r="K8" s="626"/>
      <c r="L8" s="629"/>
      <c r="M8" s="610"/>
      <c r="N8" s="610"/>
      <c r="O8" s="610"/>
      <c r="P8" s="610"/>
      <c r="Q8" s="630"/>
      <c r="R8" s="1208"/>
      <c r="S8" s="1209"/>
      <c r="T8" s="1210"/>
      <c r="U8" s="1211"/>
      <c r="V8" s="1212"/>
      <c r="W8" s="610"/>
      <c r="X8" s="610"/>
      <c r="Y8" s="610"/>
      <c r="AC8" s="610"/>
      <c r="AD8" s="610"/>
      <c r="AE8" s="610"/>
      <c r="AF8" s="610"/>
      <c r="AG8" s="610"/>
      <c r="AH8" s="610"/>
      <c r="AI8" s="610"/>
      <c r="AJ8" s="610"/>
      <c r="AV8" s="623"/>
      <c r="BE8" s="623"/>
      <c r="BZ8" s="610"/>
      <c r="CA8" s="610"/>
      <c r="CB8" s="610"/>
      <c r="CC8" s="610"/>
      <c r="CD8" s="610"/>
      <c r="CE8" s="610"/>
      <c r="CF8" s="610"/>
      <c r="CG8" s="610"/>
      <c r="CH8" s="610"/>
      <c r="CI8" s="610"/>
      <c r="CJ8" s="610"/>
      <c r="CK8" s="610"/>
      <c r="CL8" s="610"/>
      <c r="CM8" s="610"/>
      <c r="CN8" s="610"/>
      <c r="CO8" s="610"/>
      <c r="CP8" s="610"/>
    </row>
    <row r="9" spans="1:94" s="624" customFormat="1" ht="30" customHeight="1" thickBot="1" x14ac:dyDescent="0.25">
      <c r="B9" s="610"/>
      <c r="C9" s="610"/>
      <c r="D9" s="631"/>
      <c r="E9" s="632"/>
      <c r="F9" s="633"/>
      <c r="G9" s="632"/>
      <c r="H9" s="633"/>
      <c r="I9" s="632"/>
      <c r="J9" s="632"/>
      <c r="K9" s="632"/>
      <c r="L9" s="634"/>
      <c r="M9" s="610"/>
      <c r="N9" s="610"/>
      <c r="O9" s="610"/>
      <c r="P9" s="610"/>
      <c r="Q9" s="635" t="s">
        <v>384</v>
      </c>
      <c r="R9" s="636" t="s">
        <v>307</v>
      </c>
      <c r="S9" s="637"/>
      <c r="T9" s="638" t="s">
        <v>382</v>
      </c>
      <c r="U9" s="639"/>
      <c r="V9" s="640"/>
      <c r="W9" s="610"/>
      <c r="X9" s="610"/>
      <c r="AC9" s="610"/>
      <c r="AD9" s="615"/>
      <c r="AE9" s="610"/>
      <c r="AF9" s="610"/>
      <c r="AG9" s="610"/>
      <c r="AH9" s="610"/>
      <c r="AI9" s="610"/>
      <c r="AJ9" s="610"/>
      <c r="AV9" s="623"/>
      <c r="BE9" s="623"/>
      <c r="BZ9" s="610"/>
      <c r="CA9" s="610"/>
      <c r="CB9" s="610"/>
      <c r="CC9" s="610"/>
      <c r="CD9" s="610"/>
      <c r="CE9" s="610"/>
      <c r="CF9" s="610"/>
      <c r="CG9" s="610"/>
      <c r="CH9" s="610"/>
      <c r="CI9" s="610"/>
      <c r="CJ9" s="610"/>
      <c r="CK9" s="610"/>
      <c r="CL9" s="610"/>
      <c r="CM9" s="610"/>
      <c r="CN9" s="610"/>
      <c r="CO9" s="610"/>
      <c r="CP9" s="610"/>
    </row>
    <row r="10" spans="1:94" s="624" customFormat="1" ht="30" customHeight="1" thickBot="1" x14ac:dyDescent="0.25">
      <c r="B10" s="610"/>
      <c r="C10" s="610"/>
      <c r="D10" s="641"/>
      <c r="E10" s="642"/>
      <c r="F10" s="643"/>
      <c r="G10" s="642"/>
      <c r="H10" s="643"/>
      <c r="I10" s="641"/>
      <c r="J10" s="641"/>
      <c r="K10" s="641"/>
      <c r="L10" s="641"/>
      <c r="M10" s="610"/>
      <c r="N10" s="610"/>
      <c r="O10" s="610"/>
      <c r="P10" s="610"/>
      <c r="Q10" s="635" t="s">
        <v>385</v>
      </c>
      <c r="R10" s="636" t="s">
        <v>218</v>
      </c>
      <c r="S10" s="637"/>
      <c r="T10" s="637" t="s">
        <v>383</v>
      </c>
      <c r="U10" s="637"/>
      <c r="V10" s="644"/>
      <c r="W10" s="610"/>
      <c r="X10" s="610"/>
      <c r="AC10" s="610"/>
      <c r="AD10" s="610"/>
      <c r="AE10" s="610"/>
      <c r="AF10" s="610"/>
      <c r="AG10" s="610"/>
      <c r="AH10" s="610"/>
      <c r="AI10" s="610"/>
      <c r="AJ10" s="610"/>
      <c r="AV10" s="623"/>
      <c r="BE10" s="623"/>
      <c r="BZ10" s="610"/>
      <c r="CA10" s="610"/>
      <c r="CB10" s="610"/>
      <c r="CC10" s="610"/>
      <c r="CD10" s="610"/>
      <c r="CE10" s="610"/>
      <c r="CF10" s="610"/>
      <c r="CG10" s="610"/>
      <c r="CH10" s="610"/>
      <c r="CI10" s="610"/>
      <c r="CJ10" s="610"/>
      <c r="CK10" s="610"/>
      <c r="CL10" s="610"/>
      <c r="CM10" s="610"/>
      <c r="CN10" s="610"/>
      <c r="CO10" s="610"/>
      <c r="CP10" s="610"/>
    </row>
    <row r="11" spans="1:94" s="624" customFormat="1" ht="30" customHeight="1" x14ac:dyDescent="0.2">
      <c r="B11" s="1215" t="s">
        <v>390</v>
      </c>
      <c r="C11" s="1216"/>
      <c r="D11" s="1216"/>
      <c r="E11" s="1216"/>
      <c r="F11" s="1216"/>
      <c r="G11" s="1216"/>
      <c r="H11" s="1216"/>
      <c r="I11" s="1216"/>
      <c r="J11" s="1216"/>
      <c r="K11" s="1216"/>
      <c r="L11" s="1216"/>
      <c r="M11" s="1216"/>
      <c r="N11" s="1217"/>
      <c r="O11" s="610"/>
      <c r="P11" s="610"/>
      <c r="Q11" s="635" t="s">
        <v>386</v>
      </c>
      <c r="R11" s="636" t="s">
        <v>306</v>
      </c>
      <c r="S11" s="637"/>
      <c r="T11" s="1221" t="s">
        <v>421</v>
      </c>
      <c r="U11" s="1221"/>
      <c r="V11" s="1222"/>
      <c r="W11" s="610"/>
      <c r="X11" s="610"/>
      <c r="AC11" s="610"/>
      <c r="AD11" s="615"/>
      <c r="AE11" s="610"/>
      <c r="AF11" s="610"/>
      <c r="AG11" s="610"/>
      <c r="AH11" s="610"/>
      <c r="AI11" s="610"/>
      <c r="AJ11" s="610"/>
      <c r="AV11" s="623"/>
      <c r="BE11" s="623"/>
      <c r="BZ11" s="610"/>
      <c r="CA11" s="610"/>
      <c r="CB11" s="610"/>
      <c r="CC11" s="610"/>
      <c r="CD11" s="610"/>
      <c r="CE11" s="610"/>
      <c r="CF11" s="610"/>
      <c r="CG11" s="610"/>
      <c r="CH11" s="610"/>
      <c r="CI11" s="610"/>
      <c r="CJ11" s="610"/>
      <c r="CK11" s="610"/>
      <c r="CL11" s="610"/>
      <c r="CM11" s="610"/>
      <c r="CN11" s="610"/>
      <c r="CO11" s="610"/>
      <c r="CP11" s="610"/>
    </row>
    <row r="12" spans="1:94" s="624" customFormat="1" ht="30" customHeight="1" thickBot="1" x14ac:dyDescent="0.25">
      <c r="B12" s="1218"/>
      <c r="C12" s="1219"/>
      <c r="D12" s="1219"/>
      <c r="E12" s="1219"/>
      <c r="F12" s="1219"/>
      <c r="G12" s="1219"/>
      <c r="H12" s="1219"/>
      <c r="I12" s="1219"/>
      <c r="J12" s="1219"/>
      <c r="K12" s="1219"/>
      <c r="L12" s="1219"/>
      <c r="M12" s="1219"/>
      <c r="N12" s="1220"/>
      <c r="O12" s="610"/>
      <c r="P12" s="610"/>
      <c r="Q12" s="645" t="s">
        <v>387</v>
      </c>
      <c r="R12" s="646" t="s">
        <v>305</v>
      </c>
      <c r="S12" s="647"/>
      <c r="T12" s="1223" t="s">
        <v>422</v>
      </c>
      <c r="U12" s="1223"/>
      <c r="V12" s="1224"/>
      <c r="W12" s="610"/>
      <c r="X12" s="610"/>
      <c r="Y12" s="623"/>
      <c r="AC12" s="610"/>
      <c r="AD12" s="610"/>
      <c r="AE12" s="610"/>
      <c r="AF12" s="610"/>
      <c r="AG12" s="610"/>
      <c r="AH12" s="610"/>
      <c r="AI12" s="610"/>
      <c r="AJ12" s="610"/>
      <c r="AV12" s="607"/>
      <c r="BE12" s="623"/>
      <c r="BZ12" s="610"/>
      <c r="CA12" s="610"/>
      <c r="CB12" s="610"/>
      <c r="CC12" s="610"/>
      <c r="CD12" s="610"/>
      <c r="CE12" s="610"/>
      <c r="CF12" s="610"/>
      <c r="CG12" s="610"/>
      <c r="CH12" s="610"/>
      <c r="CI12" s="610"/>
      <c r="CJ12" s="610"/>
      <c r="CK12" s="610"/>
      <c r="CL12" s="610"/>
      <c r="CM12" s="610"/>
      <c r="CN12" s="610"/>
      <c r="CO12" s="610"/>
      <c r="CP12" s="610"/>
    </row>
    <row r="13" spans="1:94" ht="80.099999999999994" customHeight="1" thickBot="1" x14ac:dyDescent="0.25">
      <c r="B13" s="530" t="s">
        <v>296</v>
      </c>
      <c r="C13" s="108" t="s">
        <v>54</v>
      </c>
      <c r="D13" s="108" t="s">
        <v>55</v>
      </c>
      <c r="E13" s="108" t="s">
        <v>261</v>
      </c>
      <c r="F13" s="108" t="s">
        <v>300</v>
      </c>
      <c r="G13" s="108" t="s">
        <v>463</v>
      </c>
      <c r="H13" s="538" t="s">
        <v>299</v>
      </c>
      <c r="I13" s="108" t="s">
        <v>301</v>
      </c>
      <c r="J13" s="108" t="s">
        <v>298</v>
      </c>
      <c r="K13" s="108" t="s">
        <v>297</v>
      </c>
      <c r="L13" s="108" t="s">
        <v>302</v>
      </c>
      <c r="M13" s="108" t="s">
        <v>303</v>
      </c>
      <c r="N13" s="108" t="s">
        <v>391</v>
      </c>
      <c r="W13" s="610"/>
      <c r="X13" s="610"/>
      <c r="Y13" s="624"/>
      <c r="AD13" s="615"/>
      <c r="AV13" s="607"/>
      <c r="BE13" s="607"/>
    </row>
    <row r="14" spans="1:94" ht="30" customHeight="1" thickBot="1" x14ac:dyDescent="0.25">
      <c r="B14" s="618"/>
      <c r="C14" s="648"/>
      <c r="D14" s="648"/>
      <c r="E14" s="648"/>
      <c r="F14" s="648"/>
      <c r="G14" s="648"/>
      <c r="H14" s="649"/>
      <c r="I14" s="648"/>
      <c r="J14" s="648"/>
      <c r="K14" s="648"/>
      <c r="L14" s="648"/>
      <c r="M14" s="648"/>
      <c r="N14" s="650"/>
      <c r="Q14" s="1225"/>
      <c r="R14" s="1225"/>
      <c r="S14" s="1225"/>
      <c r="T14" s="1225"/>
      <c r="U14" s="1225"/>
      <c r="V14" s="1225"/>
      <c r="W14" s="610"/>
      <c r="X14" s="610"/>
      <c r="Y14" s="610"/>
      <c r="AV14" s="607"/>
      <c r="BE14" s="607"/>
    </row>
    <row r="15" spans="1:94" ht="30" customHeight="1" thickBot="1" x14ac:dyDescent="0.25">
      <c r="B15" s="625">
        <v>1</v>
      </c>
      <c r="C15" s="628" t="s">
        <v>494</v>
      </c>
      <c r="D15" s="651" t="s">
        <v>24</v>
      </c>
      <c r="E15" s="628" t="s">
        <v>495</v>
      </c>
      <c r="F15" s="652">
        <v>20</v>
      </c>
      <c r="G15" s="652">
        <v>5</v>
      </c>
      <c r="H15" s="922">
        <v>8.1935400000000005</v>
      </c>
      <c r="I15" s="922">
        <f>H15</f>
        <v>8.1935400000000005</v>
      </c>
      <c r="J15" s="654">
        <v>5.1799999999999999E-5</v>
      </c>
      <c r="K15" s="653">
        <f>(7.23+7.23+7.22)/3</f>
        <v>7.2266666666666666</v>
      </c>
      <c r="L15" s="655">
        <v>5.0000000000000001E-3</v>
      </c>
      <c r="M15" s="654">
        <v>9.0000000000000002E-6</v>
      </c>
      <c r="N15" s="629"/>
      <c r="Q15" s="1202" t="s">
        <v>318</v>
      </c>
      <c r="R15" s="1203"/>
      <c r="S15" s="1204"/>
      <c r="T15" s="622"/>
      <c r="U15" s="1202" t="s">
        <v>423</v>
      </c>
      <c r="V15" s="1203"/>
      <c r="W15" s="1203"/>
      <c r="X15" s="1204"/>
      <c r="Y15" s="610"/>
      <c r="AD15" s="615"/>
      <c r="AV15" s="607"/>
      <c r="BE15" s="607"/>
    </row>
    <row r="16" spans="1:94" ht="30" customHeight="1" thickBot="1" x14ac:dyDescent="0.25">
      <c r="B16" s="631"/>
      <c r="C16" s="632"/>
      <c r="D16" s="632"/>
      <c r="E16" s="632"/>
      <c r="F16" s="632"/>
      <c r="G16" s="632"/>
      <c r="H16" s="632"/>
      <c r="I16" s="632"/>
      <c r="J16" s="632"/>
      <c r="K16" s="632"/>
      <c r="L16" s="632"/>
      <c r="M16" s="632"/>
      <c r="N16" s="634"/>
      <c r="Q16" s="1226" t="s">
        <v>469</v>
      </c>
      <c r="R16" s="1227"/>
      <c r="S16" s="1228"/>
      <c r="T16" s="622"/>
      <c r="U16" s="1229" t="s">
        <v>365</v>
      </c>
      <c r="V16" s="1230"/>
      <c r="W16" s="1230"/>
      <c r="X16" s="1231"/>
      <c r="Y16" s="610"/>
      <c r="AV16" s="607"/>
      <c r="BE16" s="607"/>
    </row>
    <row r="17" spans="1:58" ht="30" customHeight="1" x14ac:dyDescent="0.2">
      <c r="B17" s="607"/>
      <c r="C17" s="607"/>
      <c r="D17" s="641"/>
      <c r="E17" s="642"/>
      <c r="F17" s="656"/>
      <c r="G17" s="642"/>
      <c r="H17" s="656"/>
      <c r="I17" s="642"/>
      <c r="J17" s="642"/>
      <c r="K17" s="642"/>
      <c r="L17" s="642"/>
      <c r="Q17" s="630" t="s">
        <v>296</v>
      </c>
      <c r="R17" s="657" t="s">
        <v>470</v>
      </c>
      <c r="S17" s="658" t="s">
        <v>321</v>
      </c>
      <c r="T17" s="622"/>
      <c r="U17" s="659">
        <v>18501</v>
      </c>
      <c r="V17" s="921" t="s">
        <v>366</v>
      </c>
      <c r="W17" s="921">
        <v>19336.599999999999</v>
      </c>
      <c r="X17" s="660" t="s">
        <v>4</v>
      </c>
      <c r="Y17" s="622"/>
      <c r="Z17" s="622"/>
      <c r="AA17" s="622"/>
      <c r="AB17" s="622"/>
      <c r="AD17" s="615"/>
      <c r="AV17" s="607"/>
      <c r="BE17" s="607"/>
    </row>
    <row r="18" spans="1:58" ht="30" customHeight="1" x14ac:dyDescent="0.2">
      <c r="B18" s="607"/>
      <c r="C18" s="607"/>
      <c r="D18" s="641"/>
      <c r="E18" s="642"/>
      <c r="F18" s="656"/>
      <c r="G18" s="642"/>
      <c r="H18" s="656"/>
      <c r="I18" s="642"/>
      <c r="J18" s="642"/>
      <c r="K18" s="642"/>
      <c r="L18" s="642"/>
      <c r="Q18" s="661"/>
      <c r="R18" s="662"/>
      <c r="S18" s="663"/>
      <c r="T18" s="622"/>
      <c r="U18" s="664">
        <v>1128.29</v>
      </c>
      <c r="V18" s="922" t="s">
        <v>366</v>
      </c>
      <c r="W18" s="922">
        <v>1179.99</v>
      </c>
      <c r="X18" s="665" t="s">
        <v>471</v>
      </c>
      <c r="Y18" s="622"/>
      <c r="Z18" s="622"/>
      <c r="AA18" s="622"/>
      <c r="AB18" s="622"/>
      <c r="AV18" s="607"/>
      <c r="BE18" s="607"/>
    </row>
    <row r="19" spans="1:58" ht="30" customHeight="1" thickBot="1" x14ac:dyDescent="0.25">
      <c r="B19" s="607"/>
      <c r="C19" s="607"/>
      <c r="D19" s="641"/>
      <c r="E19" s="642"/>
      <c r="F19" s="656"/>
      <c r="G19" s="642"/>
      <c r="H19" s="656"/>
      <c r="I19" s="642"/>
      <c r="J19" s="642"/>
      <c r="K19" s="642"/>
      <c r="L19" s="642"/>
      <c r="Q19" s="635" t="s">
        <v>472</v>
      </c>
      <c r="R19" s="917">
        <v>0.25</v>
      </c>
      <c r="S19" s="918">
        <v>80</v>
      </c>
      <c r="T19" s="622"/>
      <c r="U19" s="666">
        <v>4.8917000000000002</v>
      </c>
      <c r="V19" s="923" t="s">
        <v>366</v>
      </c>
      <c r="W19" s="923">
        <v>5.1082000000000001</v>
      </c>
      <c r="X19" s="667" t="s">
        <v>9</v>
      </c>
      <c r="AD19" s="615"/>
      <c r="AV19" s="607"/>
      <c r="AW19" s="607"/>
      <c r="AX19" s="607"/>
      <c r="AY19" s="607"/>
      <c r="AZ19" s="607"/>
      <c r="BA19" s="607"/>
      <c r="BB19" s="607"/>
      <c r="BC19" s="607"/>
      <c r="BD19" s="607"/>
      <c r="BE19" s="607"/>
    </row>
    <row r="20" spans="1:58" ht="30" customHeight="1" thickBot="1" x14ac:dyDescent="0.25">
      <c r="A20" s="668"/>
      <c r="B20" s="669"/>
      <c r="C20" s="670"/>
      <c r="D20" s="74"/>
      <c r="E20" s="74"/>
      <c r="F20" s="671"/>
      <c r="G20" s="672"/>
      <c r="H20" s="672"/>
      <c r="I20" s="672"/>
      <c r="J20" s="672"/>
      <c r="K20" s="673"/>
      <c r="L20" s="672"/>
      <c r="M20" s="672"/>
      <c r="N20" s="674"/>
      <c r="Q20" s="635" t="s">
        <v>473</v>
      </c>
      <c r="R20" s="917">
        <v>0.5</v>
      </c>
      <c r="S20" s="918">
        <v>40</v>
      </c>
      <c r="T20" s="622"/>
      <c r="U20" s="675" t="s">
        <v>296</v>
      </c>
      <c r="V20" s="675" t="s">
        <v>4</v>
      </c>
      <c r="W20" s="676" t="s">
        <v>474</v>
      </c>
      <c r="X20" s="675" t="s">
        <v>9</v>
      </c>
      <c r="AV20" s="607"/>
      <c r="AW20" s="607"/>
      <c r="AX20" s="607"/>
      <c r="AY20" s="607"/>
      <c r="AZ20" s="607"/>
      <c r="BA20" s="607"/>
      <c r="BB20" s="607"/>
      <c r="BC20" s="607"/>
      <c r="BD20" s="607"/>
      <c r="BE20" s="607"/>
    </row>
    <row r="21" spans="1:58" ht="30" customHeight="1" thickBot="1" x14ac:dyDescent="0.25">
      <c r="A21" s="677"/>
      <c r="B21" s="1232" t="s">
        <v>392</v>
      </c>
      <c r="C21" s="1233"/>
      <c r="D21" s="1233"/>
      <c r="E21" s="1233"/>
      <c r="F21" s="1233"/>
      <c r="G21" s="1233"/>
      <c r="H21" s="1233"/>
      <c r="I21" s="1233"/>
      <c r="J21" s="1233"/>
      <c r="K21" s="1233"/>
      <c r="L21" s="1233"/>
      <c r="M21" s="1234"/>
      <c r="N21" s="678"/>
      <c r="Q21" s="679" t="s">
        <v>475</v>
      </c>
      <c r="R21" s="680">
        <v>1</v>
      </c>
      <c r="S21" s="920">
        <v>20</v>
      </c>
      <c r="T21" s="622"/>
      <c r="U21" s="681"/>
      <c r="V21" s="682"/>
      <c r="W21" s="682"/>
      <c r="X21" s="683"/>
      <c r="AD21" s="615"/>
      <c r="AV21" s="607"/>
      <c r="BE21" s="607"/>
    </row>
    <row r="22" spans="1:58" ht="30" customHeight="1" thickBot="1" x14ac:dyDescent="0.25">
      <c r="A22" s="677"/>
      <c r="B22" s="607"/>
      <c r="C22" s="607"/>
      <c r="D22" s="607"/>
      <c r="E22" s="607"/>
      <c r="F22" s="607"/>
      <c r="G22" s="607"/>
      <c r="H22" s="607"/>
      <c r="I22" s="607"/>
      <c r="J22" s="607"/>
      <c r="K22" s="684"/>
      <c r="L22" s="607"/>
      <c r="M22" s="607"/>
      <c r="N22" s="678"/>
      <c r="T22" s="622"/>
      <c r="U22" s="625">
        <v>1</v>
      </c>
      <c r="V22" s="685">
        <v>6.3</v>
      </c>
      <c r="W22" s="626">
        <v>0.38</v>
      </c>
      <c r="X22" s="629">
        <v>1.6999999999999999E-3</v>
      </c>
      <c r="AV22" s="607"/>
      <c r="BE22" s="607"/>
    </row>
    <row r="23" spans="1:58" ht="69.95" customHeight="1" thickBot="1" x14ac:dyDescent="0.25">
      <c r="A23" s="677"/>
      <c r="B23" s="686" t="s">
        <v>1</v>
      </c>
      <c r="C23" s="687" t="s">
        <v>54</v>
      </c>
      <c r="D23" s="687" t="s">
        <v>55</v>
      </c>
      <c r="E23" s="687" t="s">
        <v>261</v>
      </c>
      <c r="F23" s="687" t="s">
        <v>111</v>
      </c>
      <c r="G23" s="687" t="s">
        <v>262</v>
      </c>
      <c r="H23" s="687" t="s">
        <v>113</v>
      </c>
      <c r="I23" s="687" t="s">
        <v>263</v>
      </c>
      <c r="J23" s="687" t="s">
        <v>116</v>
      </c>
      <c r="K23" s="688" t="s">
        <v>117</v>
      </c>
      <c r="L23" s="687" t="s">
        <v>118</v>
      </c>
      <c r="M23" s="689" t="s">
        <v>238</v>
      </c>
      <c r="N23" s="678"/>
      <c r="Q23" s="1226" t="s">
        <v>322</v>
      </c>
      <c r="R23" s="1227"/>
      <c r="S23" s="1228"/>
      <c r="T23" s="622"/>
      <c r="U23" s="690"/>
      <c r="V23" s="691"/>
      <c r="W23" s="692"/>
      <c r="X23" s="693"/>
      <c r="AD23" s="607"/>
      <c r="AV23" s="607"/>
      <c r="BE23" s="607"/>
    </row>
    <row r="24" spans="1:58" ht="30" customHeight="1" thickBot="1" x14ac:dyDescent="0.25">
      <c r="A24" s="677"/>
      <c r="B24" s="694"/>
      <c r="C24" s="695"/>
      <c r="D24" s="696"/>
      <c r="E24" s="696"/>
      <c r="F24" s="696"/>
      <c r="G24" s="696"/>
      <c r="H24" s="696"/>
      <c r="I24" s="696"/>
      <c r="J24" s="696"/>
      <c r="K24" s="697"/>
      <c r="L24" s="696"/>
      <c r="M24" s="698"/>
      <c r="N24" s="699"/>
      <c r="Q24" s="630" t="s">
        <v>296</v>
      </c>
      <c r="R24" s="700" t="s">
        <v>323</v>
      </c>
      <c r="S24" s="701" t="s">
        <v>252</v>
      </c>
      <c r="T24" s="622"/>
      <c r="U24" s="622"/>
      <c r="V24" s="622"/>
      <c r="W24" s="610"/>
      <c r="AD24" s="607"/>
      <c r="AV24" s="607"/>
      <c r="BE24" s="607"/>
      <c r="BF24" s="607"/>
    </row>
    <row r="25" spans="1:58" ht="30" customHeight="1" x14ac:dyDescent="0.2">
      <c r="A25" s="677"/>
      <c r="B25" s="702" t="s">
        <v>275</v>
      </c>
      <c r="C25" s="657" t="s">
        <v>106</v>
      </c>
      <c r="D25" s="657" t="s">
        <v>107</v>
      </c>
      <c r="E25" s="657" t="s">
        <v>426</v>
      </c>
      <c r="F25" s="703">
        <v>15.56</v>
      </c>
      <c r="G25" s="657">
        <v>4.9998500000000003</v>
      </c>
      <c r="H25" s="704">
        <v>4.0967700000000002</v>
      </c>
      <c r="I25" s="704">
        <v>4.0967700000000002</v>
      </c>
      <c r="J25" s="657">
        <v>4.7700000000000001E-5</v>
      </c>
      <c r="K25" s="705">
        <f>(5.49+5.5+5.51)/3</f>
        <v>5.5</v>
      </c>
      <c r="L25" s="706">
        <v>5.0000000000000001E-3</v>
      </c>
      <c r="M25" s="707">
        <v>9.9000000000000001E-6</v>
      </c>
      <c r="N25" s="678"/>
      <c r="Q25" s="635"/>
      <c r="R25" s="917"/>
      <c r="S25" s="918"/>
      <c r="T25" s="622"/>
      <c r="U25" s="622"/>
      <c r="V25" s="622"/>
      <c r="W25" s="610"/>
      <c r="X25" s="610"/>
      <c r="Y25" s="642"/>
      <c r="Z25" s="642"/>
      <c r="AA25" s="642"/>
      <c r="AB25" s="642"/>
      <c r="AC25" s="642"/>
      <c r="AD25" s="607"/>
      <c r="AV25" s="607"/>
      <c r="BE25" s="607"/>
      <c r="BF25" s="607"/>
    </row>
    <row r="26" spans="1:58" ht="30" customHeight="1" thickBot="1" x14ac:dyDescent="0.25">
      <c r="A26" s="677"/>
      <c r="B26" s="708" t="s">
        <v>276</v>
      </c>
      <c r="C26" s="709" t="s">
        <v>106</v>
      </c>
      <c r="D26" s="710" t="s">
        <v>24</v>
      </c>
      <c r="E26" s="709" t="s">
        <v>425</v>
      </c>
      <c r="F26" s="711">
        <v>20</v>
      </c>
      <c r="G26" s="709">
        <v>5</v>
      </c>
      <c r="H26" s="919">
        <v>8.1935400000000005</v>
      </c>
      <c r="I26" s="709">
        <f>H26</f>
        <v>8.1935400000000005</v>
      </c>
      <c r="J26" s="709">
        <v>4.7700000000000001E-5</v>
      </c>
      <c r="K26" s="712">
        <f>(7.29+7.26+7.25)/3</f>
        <v>7.2666666666666666</v>
      </c>
      <c r="L26" s="713">
        <v>5.0000000000000001E-3</v>
      </c>
      <c r="M26" s="714"/>
      <c r="N26" s="699"/>
      <c r="Q26" s="635">
        <v>1</v>
      </c>
      <c r="R26" s="917">
        <v>100</v>
      </c>
      <c r="S26" s="715" t="s">
        <v>253</v>
      </c>
      <c r="T26" s="622"/>
      <c r="U26" s="622"/>
      <c r="X26" s="610"/>
      <c r="Y26" s="642"/>
      <c r="Z26" s="642"/>
      <c r="AA26" s="642"/>
      <c r="AB26" s="642"/>
      <c r="AC26" s="642"/>
      <c r="AD26" s="607"/>
      <c r="AV26" s="607"/>
      <c r="BE26" s="607"/>
      <c r="BF26" s="607"/>
    </row>
    <row r="27" spans="1:58" ht="30" customHeight="1" thickBot="1" x14ac:dyDescent="0.25">
      <c r="A27" s="677"/>
      <c r="B27" s="607"/>
      <c r="C27" s="716"/>
      <c r="D27" s="716"/>
      <c r="E27" s="716"/>
      <c r="F27" s="716"/>
      <c r="G27" s="716"/>
      <c r="H27" s="716"/>
      <c r="I27" s="716"/>
      <c r="J27" s="716"/>
      <c r="K27" s="717"/>
      <c r="L27" s="716"/>
      <c r="M27" s="716"/>
      <c r="N27" s="699"/>
      <c r="Q27" s="635">
        <v>2</v>
      </c>
      <c r="R27" s="917">
        <v>500</v>
      </c>
      <c r="S27" s="715">
        <v>499.68</v>
      </c>
      <c r="T27" s="716"/>
      <c r="X27" s="610"/>
      <c r="Y27" s="642"/>
      <c r="Z27" s="642"/>
      <c r="AA27" s="642"/>
      <c r="AB27" s="642"/>
      <c r="AC27" s="642"/>
      <c r="AD27" s="607"/>
      <c r="AV27" s="607"/>
      <c r="BE27" s="607"/>
      <c r="BF27" s="607"/>
    </row>
    <row r="28" spans="1:58" ht="30" customHeight="1" thickBot="1" x14ac:dyDescent="0.25">
      <c r="A28" s="677"/>
      <c r="B28" s="1235" t="s">
        <v>338</v>
      </c>
      <c r="C28" s="1236"/>
      <c r="D28" s="1236"/>
      <c r="E28" s="1236"/>
      <c r="F28" s="1236"/>
      <c r="G28" s="1236"/>
      <c r="H28" s="1236"/>
      <c r="I28" s="1236"/>
      <c r="J28" s="1236"/>
      <c r="K28" s="1236"/>
      <c r="L28" s="1237"/>
      <c r="M28" s="716"/>
      <c r="N28" s="699"/>
      <c r="Q28" s="635">
        <v>3</v>
      </c>
      <c r="R28" s="917">
        <v>500</v>
      </c>
      <c r="S28" s="715">
        <v>500.25</v>
      </c>
      <c r="T28" s="716"/>
      <c r="X28" s="610"/>
      <c r="Y28" s="642"/>
      <c r="Z28" s="642"/>
      <c r="AA28" s="642"/>
      <c r="AB28" s="642"/>
      <c r="AC28" s="642"/>
      <c r="AD28" s="607"/>
      <c r="AV28" s="607"/>
    </row>
    <row r="29" spans="1:58" ht="60" customHeight="1" thickBot="1" x14ac:dyDescent="0.25">
      <c r="A29" s="677"/>
      <c r="B29" s="1213" t="s">
        <v>244</v>
      </c>
      <c r="C29" s="718"/>
      <c r="D29" s="719" t="s">
        <v>54</v>
      </c>
      <c r="E29" s="719" t="s">
        <v>341</v>
      </c>
      <c r="F29" s="720" t="s">
        <v>340</v>
      </c>
      <c r="G29" s="720" t="s">
        <v>233</v>
      </c>
      <c r="H29" s="720" t="s">
        <v>294</v>
      </c>
      <c r="I29" s="720" t="s">
        <v>231</v>
      </c>
      <c r="J29" s="720" t="s">
        <v>295</v>
      </c>
      <c r="K29" s="721" t="s">
        <v>232</v>
      </c>
      <c r="L29" s="722" t="s">
        <v>362</v>
      </c>
      <c r="M29" s="716"/>
      <c r="N29" s="699"/>
      <c r="Q29" s="635">
        <v>4</v>
      </c>
      <c r="R29" s="723">
        <v>500</v>
      </c>
      <c r="S29" s="715">
        <v>500.46</v>
      </c>
      <c r="T29" s="716"/>
      <c r="X29" s="610"/>
      <c r="Y29" s="642"/>
      <c r="Z29" s="642"/>
      <c r="AA29" s="642"/>
      <c r="AB29" s="642"/>
      <c r="AC29" s="642"/>
      <c r="AD29" s="607"/>
      <c r="AV29" s="607"/>
    </row>
    <row r="30" spans="1:58" ht="30" customHeight="1" x14ac:dyDescent="0.2">
      <c r="A30" s="677"/>
      <c r="B30" s="1214"/>
      <c r="C30" s="724"/>
      <c r="D30" s="725"/>
      <c r="E30" s="726"/>
      <c r="F30" s="726"/>
      <c r="G30" s="726"/>
      <c r="H30" s="726"/>
      <c r="I30" s="726"/>
      <c r="J30" s="726"/>
      <c r="K30" s="727"/>
      <c r="L30" s="728"/>
      <c r="M30" s="716"/>
      <c r="N30" s="699"/>
      <c r="Q30" s="635">
        <v>5</v>
      </c>
      <c r="R30" s="723">
        <v>500</v>
      </c>
      <c r="S30" s="715">
        <v>500.34800000000001</v>
      </c>
      <c r="T30" s="716"/>
      <c r="X30" s="610"/>
      <c r="Y30" s="642"/>
      <c r="Z30" s="642"/>
      <c r="AA30" s="642"/>
      <c r="AB30" s="642"/>
      <c r="AC30" s="642"/>
      <c r="AD30" s="607"/>
      <c r="AV30" s="607"/>
    </row>
    <row r="31" spans="1:58" ht="30" customHeight="1" thickBot="1" x14ac:dyDescent="0.25">
      <c r="A31" s="677"/>
      <c r="B31" s="1214"/>
      <c r="C31" s="729" t="s">
        <v>275</v>
      </c>
      <c r="D31" s="730" t="s">
        <v>106</v>
      </c>
      <c r="E31" s="730" t="s">
        <v>426</v>
      </c>
      <c r="F31" s="723">
        <v>18926.47</v>
      </c>
      <c r="G31" s="723">
        <v>4.0967700000000002</v>
      </c>
      <c r="H31" s="723">
        <f>F31-18927.06</f>
        <v>-0.59000000000014552</v>
      </c>
      <c r="I31" s="723">
        <v>2.7</v>
      </c>
      <c r="J31" s="723">
        <v>2.02</v>
      </c>
      <c r="K31" s="731">
        <v>42716</v>
      </c>
      <c r="L31" s="732" t="s">
        <v>360</v>
      </c>
      <c r="M31" s="716"/>
      <c r="N31" s="699"/>
      <c r="Q31" s="645">
        <v>6</v>
      </c>
      <c r="R31" s="733">
        <v>1000</v>
      </c>
      <c r="S31" s="734">
        <v>1000.625</v>
      </c>
      <c r="T31" s="622"/>
      <c r="AA31" s="642"/>
      <c r="AB31" s="642"/>
      <c r="AC31" s="642"/>
      <c r="AD31" s="607"/>
      <c r="AV31" s="607"/>
      <c r="BF31" s="735"/>
    </row>
    <row r="32" spans="1:58" ht="30" customHeight="1" thickBot="1" x14ac:dyDescent="0.25">
      <c r="A32" s="677"/>
      <c r="B32" s="1214"/>
      <c r="C32" s="736" t="s">
        <v>276</v>
      </c>
      <c r="D32" s="737" t="s">
        <v>106</v>
      </c>
      <c r="E32" s="738" t="s">
        <v>277</v>
      </c>
      <c r="F32" s="739">
        <v>18934.57</v>
      </c>
      <c r="G32" s="739">
        <v>8.1935300000000009</v>
      </c>
      <c r="H32" s="739">
        <v>-7.51</v>
      </c>
      <c r="I32" s="739">
        <v>3.4</v>
      </c>
      <c r="J32" s="739">
        <v>2.04</v>
      </c>
      <c r="K32" s="740">
        <v>42471</v>
      </c>
      <c r="L32" s="741" t="s">
        <v>361</v>
      </c>
      <c r="M32" s="716"/>
      <c r="N32" s="699"/>
      <c r="T32" s="622"/>
      <c r="U32" s="622"/>
      <c r="AA32" s="642"/>
      <c r="AB32" s="642"/>
      <c r="AC32" s="642"/>
      <c r="AD32" s="607"/>
      <c r="AV32" s="607"/>
    </row>
    <row r="33" spans="1:58" ht="30" customHeight="1" x14ac:dyDescent="0.2">
      <c r="A33" s="677"/>
      <c r="B33" s="742"/>
      <c r="C33" s="743"/>
      <c r="D33" s="669"/>
      <c r="E33" s="743"/>
      <c r="F33" s="743"/>
      <c r="G33" s="743"/>
      <c r="H33" s="743"/>
      <c r="I33" s="743"/>
      <c r="J33" s="743"/>
      <c r="K33" s="697"/>
      <c r="L33" s="696"/>
      <c r="M33" s="716"/>
      <c r="N33" s="699"/>
      <c r="T33" s="622"/>
      <c r="U33" s="622"/>
      <c r="AA33" s="642"/>
      <c r="AB33" s="642"/>
      <c r="AC33" s="642"/>
      <c r="AD33" s="607"/>
      <c r="AV33" s="607"/>
      <c r="BF33" s="624"/>
    </row>
    <row r="34" spans="1:58" ht="30" customHeight="1" thickBot="1" x14ac:dyDescent="0.25">
      <c r="A34" s="677"/>
      <c r="B34" s="607"/>
      <c r="C34" s="622"/>
      <c r="D34" s="622"/>
      <c r="E34" s="622"/>
      <c r="F34" s="622"/>
      <c r="G34" s="622"/>
      <c r="H34" s="622"/>
      <c r="I34" s="622"/>
      <c r="J34" s="622"/>
      <c r="K34" s="744"/>
      <c r="L34" s="622"/>
      <c r="M34" s="716"/>
      <c r="N34" s="699"/>
      <c r="T34" s="622"/>
      <c r="U34" s="622"/>
      <c r="AA34" s="642"/>
      <c r="AB34" s="642"/>
      <c r="AC34" s="642"/>
      <c r="AD34" s="607"/>
      <c r="AV34" s="607"/>
      <c r="BF34" s="624"/>
    </row>
    <row r="35" spans="1:58" ht="30" customHeight="1" thickBot="1" x14ac:dyDescent="0.25">
      <c r="A35" s="677"/>
      <c r="B35" s="1235" t="s">
        <v>257</v>
      </c>
      <c r="C35" s="1236"/>
      <c r="D35" s="1236"/>
      <c r="E35" s="1236"/>
      <c r="F35" s="1236"/>
      <c r="G35" s="1236"/>
      <c r="H35" s="1236"/>
      <c r="I35" s="1236"/>
      <c r="J35" s="1236"/>
      <c r="K35" s="1236"/>
      <c r="L35" s="1237"/>
      <c r="M35" s="716"/>
      <c r="N35" s="699"/>
      <c r="T35" s="622"/>
      <c r="U35" s="622"/>
      <c r="AA35" s="642"/>
      <c r="AB35" s="642"/>
      <c r="AC35" s="642"/>
      <c r="AD35" s="607"/>
      <c r="AV35" s="607"/>
      <c r="BF35" s="624"/>
    </row>
    <row r="36" spans="1:58" ht="60" customHeight="1" thickBot="1" x14ac:dyDescent="0.25">
      <c r="A36" s="677"/>
      <c r="B36" s="607"/>
      <c r="C36" s="745"/>
      <c r="D36" s="719" t="s">
        <v>54</v>
      </c>
      <c r="E36" s="719" t="s">
        <v>341</v>
      </c>
      <c r="F36" s="720" t="s">
        <v>340</v>
      </c>
      <c r="G36" s="720" t="s">
        <v>233</v>
      </c>
      <c r="H36" s="720" t="s">
        <v>294</v>
      </c>
      <c r="I36" s="720" t="s">
        <v>231</v>
      </c>
      <c r="J36" s="720" t="s">
        <v>295</v>
      </c>
      <c r="K36" s="746" t="s">
        <v>232</v>
      </c>
      <c r="L36" s="722" t="s">
        <v>362</v>
      </c>
      <c r="M36" s="716"/>
      <c r="N36" s="699"/>
      <c r="T36" s="622"/>
      <c r="U36" s="622"/>
      <c r="AA36" s="642"/>
      <c r="AB36" s="642"/>
      <c r="AC36" s="642"/>
      <c r="AD36" s="607"/>
      <c r="AV36" s="607"/>
      <c r="BF36" s="624"/>
    </row>
    <row r="37" spans="1:58" ht="30" customHeight="1" thickBot="1" x14ac:dyDescent="0.25">
      <c r="A37" s="677"/>
      <c r="B37" s="1238" t="s">
        <v>393</v>
      </c>
      <c r="C37" s="747"/>
      <c r="D37" s="748"/>
      <c r="E37" s="749"/>
      <c r="F37" s="749"/>
      <c r="G37" s="749"/>
      <c r="H37" s="749"/>
      <c r="I37" s="749"/>
      <c r="J37" s="749"/>
      <c r="K37" s="750"/>
      <c r="L37" s="751"/>
      <c r="M37" s="716"/>
      <c r="N37" s="699"/>
      <c r="T37" s="622"/>
      <c r="U37" s="622"/>
      <c r="AA37" s="642"/>
      <c r="AB37" s="642"/>
      <c r="AC37" s="642"/>
      <c r="AD37" s="607"/>
      <c r="AV37" s="607"/>
      <c r="BF37" s="624"/>
    </row>
    <row r="38" spans="1:58" ht="30" customHeight="1" thickBot="1" x14ac:dyDescent="0.25">
      <c r="A38" s="677"/>
      <c r="B38" s="1239"/>
      <c r="C38" s="752" t="s">
        <v>395</v>
      </c>
      <c r="D38" s="1241" t="s">
        <v>359</v>
      </c>
      <c r="E38" s="753" t="s">
        <v>278</v>
      </c>
      <c r="F38" s="754">
        <v>2.8000000000000001E-2</v>
      </c>
      <c r="G38" s="755">
        <v>1E-3</v>
      </c>
      <c r="H38" s="755">
        <v>-2.8000000000000001E-2</v>
      </c>
      <c r="I38" s="755">
        <v>1.2999999999999999E-2</v>
      </c>
      <c r="J38" s="756">
        <v>2</v>
      </c>
      <c r="K38" s="757">
        <v>42843</v>
      </c>
      <c r="L38" s="1244" t="s">
        <v>428</v>
      </c>
      <c r="M38" s="716"/>
      <c r="N38" s="699"/>
      <c r="T38" s="622"/>
      <c r="U38" s="622"/>
      <c r="AA38" s="642"/>
      <c r="AB38" s="642"/>
      <c r="AC38" s="642"/>
      <c r="AD38" s="607"/>
      <c r="AV38" s="607"/>
    </row>
    <row r="39" spans="1:58" ht="30" customHeight="1" thickBot="1" x14ac:dyDescent="0.25">
      <c r="A39" s="677"/>
      <c r="B39" s="1239"/>
      <c r="C39" s="752" t="s">
        <v>396</v>
      </c>
      <c r="D39" s="1242"/>
      <c r="E39" s="753" t="s">
        <v>278</v>
      </c>
      <c r="F39" s="758">
        <v>25.062000000000001</v>
      </c>
      <c r="G39" s="723">
        <v>1E-3</v>
      </c>
      <c r="H39" s="723">
        <v>-6.8000000000000005E-2</v>
      </c>
      <c r="I39" s="723">
        <v>4.3999999999999997E-2</v>
      </c>
      <c r="J39" s="759">
        <v>2</v>
      </c>
      <c r="K39" s="731">
        <v>42843</v>
      </c>
      <c r="L39" s="1245"/>
      <c r="M39" s="716"/>
      <c r="N39" s="699"/>
      <c r="T39" s="622"/>
      <c r="U39" s="622"/>
      <c r="AA39" s="642"/>
      <c r="AB39" s="642"/>
      <c r="AC39" s="642"/>
      <c r="AD39" s="607"/>
      <c r="AV39" s="607"/>
    </row>
    <row r="40" spans="1:58" ht="30" customHeight="1" thickBot="1" x14ac:dyDescent="0.25">
      <c r="A40" s="677"/>
      <c r="B40" s="1240"/>
      <c r="C40" s="760" t="s">
        <v>397</v>
      </c>
      <c r="D40" s="1243"/>
      <c r="E40" s="761" t="s">
        <v>278</v>
      </c>
      <c r="F40" s="762">
        <v>50.091999999999999</v>
      </c>
      <c r="G40" s="733">
        <v>1E-3</v>
      </c>
      <c r="H40" s="733">
        <v>-0.10199999999999999</v>
      </c>
      <c r="I40" s="733">
        <v>4.3999999999999997E-2</v>
      </c>
      <c r="J40" s="763">
        <v>2</v>
      </c>
      <c r="K40" s="764">
        <v>42843</v>
      </c>
      <c r="L40" s="1246"/>
      <c r="M40" s="716"/>
      <c r="N40" s="699"/>
      <c r="T40" s="622"/>
      <c r="U40" s="622"/>
      <c r="Y40" s="642"/>
      <c r="Z40" s="642"/>
      <c r="AA40" s="642"/>
      <c r="AB40" s="642"/>
      <c r="AC40" s="642"/>
      <c r="AD40" s="607"/>
      <c r="AV40" s="607"/>
    </row>
    <row r="41" spans="1:58" ht="30" customHeight="1" thickBot="1" x14ac:dyDescent="0.25">
      <c r="A41" s="677"/>
      <c r="B41" s="1238" t="s">
        <v>394</v>
      </c>
      <c r="C41" s="765"/>
      <c r="D41" s="766"/>
      <c r="E41" s="767"/>
      <c r="F41" s="768"/>
      <c r="G41" s="749"/>
      <c r="H41" s="749"/>
      <c r="I41" s="749"/>
      <c r="J41" s="749"/>
      <c r="K41" s="750"/>
      <c r="L41" s="769"/>
      <c r="M41" s="716"/>
      <c r="N41" s="699"/>
      <c r="T41" s="610"/>
      <c r="U41" s="610"/>
      <c r="V41" s="610"/>
      <c r="W41" s="610"/>
      <c r="X41" s="610"/>
      <c r="Y41" s="642"/>
      <c r="Z41" s="642"/>
      <c r="AA41" s="642"/>
      <c r="AB41" s="642"/>
      <c r="AC41" s="642"/>
      <c r="AD41" s="607"/>
      <c r="AV41" s="607"/>
    </row>
    <row r="42" spans="1:58" ht="30" customHeight="1" thickBot="1" x14ac:dyDescent="0.25">
      <c r="A42" s="677"/>
      <c r="B42" s="1239"/>
      <c r="C42" s="752" t="s">
        <v>398</v>
      </c>
      <c r="D42" s="1241" t="s">
        <v>359</v>
      </c>
      <c r="E42" s="770" t="s">
        <v>279</v>
      </c>
      <c r="F42" s="754">
        <v>-6.0000000000000001E-3</v>
      </c>
      <c r="G42" s="755">
        <v>1E-3</v>
      </c>
      <c r="H42" s="755">
        <v>6.0000000000000001E-3</v>
      </c>
      <c r="I42" s="755">
        <v>1.2999999999999999E-2</v>
      </c>
      <c r="J42" s="755">
        <v>2</v>
      </c>
      <c r="K42" s="771">
        <v>42843</v>
      </c>
      <c r="L42" s="1244" t="s">
        <v>429</v>
      </c>
      <c r="M42" s="716"/>
      <c r="N42" s="699"/>
      <c r="T42" s="610"/>
      <c r="U42" s="610"/>
      <c r="V42" s="610"/>
      <c r="W42" s="610"/>
      <c r="X42" s="610"/>
      <c r="Y42" s="642"/>
      <c r="Z42" s="642"/>
      <c r="AA42" s="642"/>
      <c r="AB42" s="642"/>
      <c r="AC42" s="642"/>
      <c r="AD42" s="607"/>
      <c r="AV42" s="607"/>
    </row>
    <row r="43" spans="1:58" ht="30" customHeight="1" thickBot="1" x14ac:dyDescent="0.25">
      <c r="A43" s="677"/>
      <c r="B43" s="1239"/>
      <c r="C43" s="752" t="s">
        <v>399</v>
      </c>
      <c r="D43" s="1242"/>
      <c r="E43" s="772" t="s">
        <v>280</v>
      </c>
      <c r="F43" s="758">
        <v>25.021999999999998</v>
      </c>
      <c r="G43" s="723">
        <v>1E-3</v>
      </c>
      <c r="H43" s="723">
        <v>-2.8000000000000001E-2</v>
      </c>
      <c r="I43" s="723">
        <v>4.3999999999999997E-2</v>
      </c>
      <c r="J43" s="723">
        <v>2</v>
      </c>
      <c r="K43" s="773">
        <v>42843</v>
      </c>
      <c r="L43" s="1245"/>
      <c r="M43" s="716"/>
      <c r="N43" s="699"/>
      <c r="Q43" s="641"/>
      <c r="R43" s="642"/>
      <c r="S43" s="642"/>
      <c r="T43" s="642"/>
      <c r="U43" s="642"/>
      <c r="V43" s="642"/>
      <c r="W43" s="610"/>
      <c r="X43" s="610"/>
      <c r="Y43" s="642"/>
      <c r="Z43" s="642"/>
      <c r="AA43" s="642"/>
      <c r="AB43" s="642"/>
      <c r="AC43" s="642"/>
      <c r="AD43" s="607"/>
      <c r="AV43" s="607"/>
    </row>
    <row r="44" spans="1:58" ht="30" customHeight="1" thickBot="1" x14ac:dyDescent="0.25">
      <c r="A44" s="677"/>
      <c r="B44" s="1240"/>
      <c r="C44" s="760" t="s">
        <v>400</v>
      </c>
      <c r="D44" s="1243"/>
      <c r="E44" s="774" t="s">
        <v>279</v>
      </c>
      <c r="F44" s="762">
        <v>50.05</v>
      </c>
      <c r="G44" s="733">
        <v>1E-3</v>
      </c>
      <c r="H44" s="733">
        <v>-5.8999999999999997E-2</v>
      </c>
      <c r="I44" s="733">
        <v>4.3999999999999997E-2</v>
      </c>
      <c r="J44" s="733">
        <v>2</v>
      </c>
      <c r="K44" s="775">
        <v>42843</v>
      </c>
      <c r="L44" s="1246"/>
      <c r="M44" s="716"/>
      <c r="N44" s="699"/>
      <c r="Q44" s="641"/>
      <c r="R44" s="642"/>
      <c r="S44" s="642"/>
      <c r="T44" s="642"/>
      <c r="U44" s="642"/>
      <c r="V44" s="642"/>
      <c r="W44" s="642"/>
      <c r="X44" s="642"/>
      <c r="Y44" s="642"/>
      <c r="Z44" s="642"/>
      <c r="AA44" s="642"/>
      <c r="AB44" s="642"/>
      <c r="AC44" s="642"/>
      <c r="AD44" s="607"/>
      <c r="AV44" s="607"/>
    </row>
    <row r="45" spans="1:58" ht="30" customHeight="1" thickBot="1" x14ac:dyDescent="0.25">
      <c r="A45" s="677"/>
      <c r="B45" s="607"/>
      <c r="C45" s="622"/>
      <c r="D45" s="622"/>
      <c r="E45" s="622"/>
      <c r="F45" s="622"/>
      <c r="G45" s="622"/>
      <c r="H45" s="622"/>
      <c r="I45" s="622"/>
      <c r="J45" s="622"/>
      <c r="K45" s="744"/>
      <c r="L45" s="622"/>
      <c r="M45" s="716"/>
      <c r="N45" s="699"/>
      <c r="Q45" s="641"/>
      <c r="R45" s="642"/>
      <c r="S45" s="642"/>
      <c r="T45" s="642"/>
      <c r="U45" s="642"/>
      <c r="V45" s="642"/>
      <c r="W45" s="642"/>
      <c r="X45" s="642"/>
      <c r="Y45" s="642"/>
      <c r="Z45" s="642"/>
      <c r="AA45" s="642"/>
      <c r="AB45" s="642"/>
      <c r="AC45" s="642"/>
      <c r="AD45" s="607"/>
      <c r="AV45" s="607"/>
    </row>
    <row r="46" spans="1:58" ht="30" customHeight="1" thickBot="1" x14ac:dyDescent="0.25">
      <c r="A46" s="677"/>
      <c r="B46" s="1235" t="s">
        <v>476</v>
      </c>
      <c r="C46" s="1236"/>
      <c r="D46" s="1236"/>
      <c r="E46" s="1236"/>
      <c r="F46" s="1236"/>
      <c r="G46" s="1236"/>
      <c r="H46" s="1236"/>
      <c r="I46" s="1236"/>
      <c r="J46" s="1236"/>
      <c r="K46" s="1236"/>
      <c r="L46" s="1237"/>
      <c r="M46" s="716"/>
      <c r="N46" s="699"/>
      <c r="Q46" s="641"/>
      <c r="R46" s="642"/>
      <c r="S46" s="642"/>
      <c r="T46" s="642"/>
      <c r="U46" s="642"/>
      <c r="V46" s="642"/>
      <c r="W46" s="642"/>
      <c r="X46" s="642"/>
      <c r="Y46" s="642"/>
      <c r="Z46" s="642"/>
      <c r="AA46" s="642"/>
      <c r="AB46" s="642"/>
      <c r="AC46" s="642"/>
      <c r="AD46" s="607"/>
      <c r="AV46" s="607"/>
      <c r="AW46" s="607"/>
      <c r="AX46" s="607"/>
      <c r="AY46" s="607"/>
      <c r="AZ46" s="607"/>
      <c r="BA46" s="607"/>
      <c r="BB46" s="607"/>
      <c r="BC46" s="607"/>
      <c r="BD46" s="607"/>
      <c r="BE46" s="607"/>
      <c r="BF46" s="607"/>
    </row>
    <row r="47" spans="1:58" ht="30" customHeight="1" thickBot="1" x14ac:dyDescent="0.25">
      <c r="A47" s="677"/>
      <c r="B47" s="607"/>
      <c r="C47" s="745"/>
      <c r="D47" s="776" t="s">
        <v>54</v>
      </c>
      <c r="E47" s="777" t="s">
        <v>341</v>
      </c>
      <c r="F47" s="776" t="s">
        <v>340</v>
      </c>
      <c r="G47" s="776" t="s">
        <v>233</v>
      </c>
      <c r="H47" s="776" t="s">
        <v>294</v>
      </c>
      <c r="I47" s="776" t="s">
        <v>231</v>
      </c>
      <c r="J47" s="776" t="s">
        <v>295</v>
      </c>
      <c r="K47" s="778" t="s">
        <v>232</v>
      </c>
      <c r="L47" s="722" t="s">
        <v>362</v>
      </c>
      <c r="M47" s="716"/>
      <c r="N47" s="699"/>
      <c r="Q47" s="641"/>
      <c r="R47" s="642"/>
      <c r="S47" s="642"/>
      <c r="T47" s="642"/>
      <c r="U47" s="642"/>
      <c r="V47" s="642"/>
      <c r="W47" s="642"/>
      <c r="X47" s="642"/>
      <c r="Y47" s="642"/>
      <c r="Z47" s="642"/>
      <c r="AA47" s="642"/>
      <c r="AB47" s="642"/>
      <c r="AC47" s="642"/>
      <c r="AD47" s="607"/>
      <c r="AV47" s="607"/>
      <c r="AW47" s="607"/>
      <c r="AX47" s="607"/>
      <c r="AY47" s="607"/>
      <c r="AZ47" s="607"/>
      <c r="BA47" s="607"/>
      <c r="BB47" s="607"/>
      <c r="BC47" s="607"/>
      <c r="BD47" s="607"/>
      <c r="BE47" s="607"/>
      <c r="BF47" s="607"/>
    </row>
    <row r="48" spans="1:58" ht="30" customHeight="1" thickBot="1" x14ac:dyDescent="0.25">
      <c r="A48" s="677"/>
      <c r="B48" s="1250" t="s">
        <v>245</v>
      </c>
      <c r="C48" s="779"/>
      <c r="D48" s="780"/>
      <c r="E48" s="781"/>
      <c r="F48" s="781"/>
      <c r="G48" s="781"/>
      <c r="H48" s="781"/>
      <c r="I48" s="781"/>
      <c r="J48" s="781"/>
      <c r="K48" s="782"/>
      <c r="L48" s="620"/>
      <c r="M48" s="716"/>
      <c r="N48" s="699"/>
      <c r="Q48" s="641"/>
      <c r="R48" s="642"/>
      <c r="S48" s="642"/>
      <c r="T48" s="642"/>
      <c r="U48" s="642"/>
      <c r="V48" s="642"/>
      <c r="W48" s="642"/>
      <c r="X48" s="642"/>
      <c r="Y48" s="642"/>
      <c r="Z48" s="642"/>
      <c r="AA48" s="642"/>
      <c r="AB48" s="642"/>
      <c r="AC48" s="642"/>
      <c r="AD48" s="607"/>
      <c r="AV48" s="607"/>
      <c r="AW48" s="607"/>
      <c r="AX48" s="607"/>
      <c r="AY48" s="607"/>
      <c r="AZ48" s="607"/>
      <c r="BA48" s="607"/>
      <c r="BB48" s="607"/>
      <c r="BC48" s="607"/>
      <c r="BD48" s="607"/>
      <c r="BE48" s="607"/>
      <c r="BF48" s="607"/>
    </row>
    <row r="49" spans="1:58" ht="30" customHeight="1" x14ac:dyDescent="0.2">
      <c r="A49" s="677"/>
      <c r="B49" s="1251"/>
      <c r="C49" s="681" t="s">
        <v>401</v>
      </c>
      <c r="D49" s="1254" t="s">
        <v>351</v>
      </c>
      <c r="E49" s="783">
        <v>2307140802024</v>
      </c>
      <c r="F49" s="784">
        <v>20.100000000000001</v>
      </c>
      <c r="G49" s="784">
        <v>0.1</v>
      </c>
      <c r="H49" s="785">
        <v>0</v>
      </c>
      <c r="I49" s="784">
        <v>0.2</v>
      </c>
      <c r="J49" s="784">
        <v>1.96</v>
      </c>
      <c r="K49" s="786">
        <v>42580</v>
      </c>
      <c r="L49" s="787" t="s">
        <v>430</v>
      </c>
      <c r="M49" s="716"/>
      <c r="N49" s="699"/>
      <c r="Q49" s="641"/>
      <c r="R49" s="642"/>
      <c r="S49" s="642"/>
      <c r="T49" s="642"/>
      <c r="U49" s="642"/>
      <c r="V49" s="642"/>
      <c r="W49" s="642"/>
      <c r="X49" s="642"/>
      <c r="Y49" s="642"/>
      <c r="Z49" s="642"/>
      <c r="AA49" s="642"/>
      <c r="AB49" s="642"/>
      <c r="AC49" s="642"/>
      <c r="AD49" s="607"/>
      <c r="AV49" s="607"/>
      <c r="AW49" s="607"/>
      <c r="AX49" s="607"/>
      <c r="AY49" s="607"/>
      <c r="AZ49" s="607"/>
      <c r="BA49" s="607"/>
      <c r="BB49" s="607"/>
      <c r="BC49" s="607"/>
      <c r="BD49" s="607"/>
      <c r="BE49" s="607"/>
      <c r="BF49" s="607"/>
    </row>
    <row r="50" spans="1:58" ht="30" customHeight="1" x14ac:dyDescent="0.2">
      <c r="A50" s="677"/>
      <c r="B50" s="1251"/>
      <c r="C50" s="625" t="s">
        <v>402</v>
      </c>
      <c r="D50" s="1255"/>
      <c r="E50" s="788">
        <v>2307140802024</v>
      </c>
      <c r="F50" s="626">
        <v>50.4</v>
      </c>
      <c r="G50" s="626">
        <v>0.1</v>
      </c>
      <c r="H50" s="626">
        <v>-0.4</v>
      </c>
      <c r="I50" s="626">
        <v>1.7</v>
      </c>
      <c r="J50" s="626">
        <v>1.96</v>
      </c>
      <c r="K50" s="627">
        <v>42586</v>
      </c>
      <c r="L50" s="789" t="s">
        <v>431</v>
      </c>
      <c r="M50" s="716"/>
      <c r="N50" s="699"/>
      <c r="Q50" s="641"/>
      <c r="R50" s="642"/>
      <c r="S50" s="642"/>
      <c r="T50" s="642"/>
      <c r="U50" s="642"/>
      <c r="V50" s="642"/>
      <c r="W50" s="642"/>
      <c r="X50" s="642"/>
      <c r="Y50" s="642"/>
      <c r="Z50" s="642"/>
      <c r="AA50" s="642"/>
      <c r="AB50" s="642"/>
      <c r="AC50" s="642"/>
      <c r="AD50" s="607"/>
      <c r="AV50" s="607"/>
      <c r="AW50" s="607"/>
      <c r="AX50" s="607"/>
      <c r="AY50" s="607"/>
      <c r="AZ50" s="607"/>
      <c r="BA50" s="607"/>
      <c r="BB50" s="607"/>
      <c r="BC50" s="607"/>
      <c r="BD50" s="607"/>
      <c r="BE50" s="607"/>
      <c r="BF50" s="607"/>
    </row>
    <row r="51" spans="1:58" ht="30" customHeight="1" thickBot="1" x14ac:dyDescent="0.25">
      <c r="A51" s="677"/>
      <c r="B51" s="1251"/>
      <c r="C51" s="690" t="s">
        <v>403</v>
      </c>
      <c r="D51" s="1256"/>
      <c r="E51" s="790">
        <v>2307140802024</v>
      </c>
      <c r="F51" s="791">
        <v>753.1</v>
      </c>
      <c r="G51" s="791">
        <v>0.1</v>
      </c>
      <c r="H51" s="791">
        <v>-0.74099999999999999</v>
      </c>
      <c r="I51" s="791">
        <v>6.4000000000000001E-2</v>
      </c>
      <c r="J51" s="791">
        <v>2</v>
      </c>
      <c r="K51" s="792">
        <v>42625</v>
      </c>
      <c r="L51" s="793" t="s">
        <v>432</v>
      </c>
      <c r="M51" s="716"/>
      <c r="N51" s="699"/>
      <c r="O51" s="794"/>
      <c r="P51" s="607"/>
      <c r="Q51" s="641"/>
      <c r="R51" s="642"/>
      <c r="S51" s="642"/>
      <c r="T51" s="642"/>
      <c r="U51" s="642"/>
      <c r="V51" s="642"/>
      <c r="W51" s="642"/>
      <c r="X51" s="642"/>
      <c r="Y51" s="642"/>
      <c r="Z51" s="642"/>
      <c r="AA51" s="642"/>
      <c r="AB51" s="642"/>
      <c r="AC51" s="642"/>
      <c r="AD51" s="607"/>
      <c r="AV51" s="607"/>
      <c r="AW51" s="607"/>
      <c r="AX51" s="607"/>
      <c r="AY51" s="607"/>
      <c r="AZ51" s="607"/>
      <c r="BA51" s="607"/>
      <c r="BB51" s="607"/>
      <c r="BC51" s="607"/>
      <c r="BD51" s="607"/>
      <c r="BE51" s="607"/>
      <c r="BF51" s="607"/>
    </row>
    <row r="52" spans="1:58" ht="30" customHeight="1" thickBot="1" x14ac:dyDescent="0.25">
      <c r="A52" s="677"/>
      <c r="B52" s="1252"/>
      <c r="C52" s="795"/>
      <c r="D52" s="796"/>
      <c r="E52" s="924"/>
      <c r="F52" s="797"/>
      <c r="G52" s="797"/>
      <c r="H52" s="797"/>
      <c r="I52" s="797"/>
      <c r="J52" s="797"/>
      <c r="K52" s="798"/>
      <c r="L52" s="799"/>
      <c r="M52" s="716"/>
      <c r="N52" s="699"/>
      <c r="O52" s="794"/>
      <c r="P52" s="607"/>
      <c r="Q52" s="641"/>
      <c r="R52" s="642"/>
      <c r="S52" s="642"/>
      <c r="T52" s="642"/>
      <c r="U52" s="642"/>
      <c r="V52" s="642"/>
      <c r="W52" s="642"/>
      <c r="X52" s="642"/>
      <c r="Y52" s="642"/>
      <c r="Z52" s="642"/>
      <c r="AA52" s="642"/>
      <c r="AB52" s="642"/>
      <c r="AC52" s="642"/>
      <c r="AD52" s="607"/>
      <c r="AV52" s="607"/>
      <c r="AW52" s="607"/>
      <c r="AX52" s="607"/>
      <c r="AY52" s="607"/>
      <c r="AZ52" s="607"/>
      <c r="BA52" s="607"/>
      <c r="BB52" s="607"/>
      <c r="BC52" s="607"/>
      <c r="BD52" s="607"/>
      <c r="BE52" s="607"/>
      <c r="BF52" s="607"/>
    </row>
    <row r="53" spans="1:58" ht="30" customHeight="1" x14ac:dyDescent="0.2">
      <c r="A53" s="677"/>
      <c r="B53" s="1251"/>
      <c r="C53" s="681" t="s">
        <v>404</v>
      </c>
      <c r="D53" s="1254" t="s">
        <v>351</v>
      </c>
      <c r="E53" s="783">
        <v>19506160802033</v>
      </c>
      <c r="F53" s="784">
        <v>28.1</v>
      </c>
      <c r="G53" s="784">
        <v>0.1</v>
      </c>
      <c r="H53" s="784">
        <v>0.1</v>
      </c>
      <c r="I53" s="784">
        <v>1.5</v>
      </c>
      <c r="J53" s="784">
        <v>2</v>
      </c>
      <c r="K53" s="786">
        <v>42674</v>
      </c>
      <c r="L53" s="787" t="s">
        <v>433</v>
      </c>
      <c r="M53" s="716"/>
      <c r="N53" s="699"/>
      <c r="O53" s="794"/>
      <c r="P53" s="607"/>
      <c r="Q53" s="641"/>
      <c r="R53" s="642"/>
      <c r="S53" s="642"/>
      <c r="T53" s="642"/>
      <c r="U53" s="642"/>
      <c r="V53" s="642"/>
      <c r="W53" s="642"/>
      <c r="X53" s="642"/>
      <c r="Y53" s="642"/>
      <c r="Z53" s="642"/>
      <c r="AA53" s="642"/>
      <c r="AB53" s="642"/>
      <c r="AC53" s="642"/>
      <c r="AD53" s="607"/>
      <c r="AV53" s="607"/>
      <c r="AW53" s="607"/>
      <c r="AX53" s="607"/>
      <c r="AY53" s="607"/>
      <c r="AZ53" s="607"/>
      <c r="BA53" s="607"/>
      <c r="BB53" s="607"/>
      <c r="BC53" s="607"/>
      <c r="BD53" s="607"/>
      <c r="BE53" s="607"/>
      <c r="BF53" s="607"/>
    </row>
    <row r="54" spans="1:58" ht="30" customHeight="1" x14ac:dyDescent="0.2">
      <c r="A54" s="677"/>
      <c r="B54" s="1251"/>
      <c r="C54" s="625" t="s">
        <v>408</v>
      </c>
      <c r="D54" s="1255"/>
      <c r="E54" s="788">
        <v>19506160802033</v>
      </c>
      <c r="F54" s="626">
        <v>59.9</v>
      </c>
      <c r="G54" s="626">
        <v>0.1</v>
      </c>
      <c r="H54" s="626">
        <v>0.47</v>
      </c>
      <c r="I54" s="626">
        <v>1.6</v>
      </c>
      <c r="J54" s="626">
        <v>2</v>
      </c>
      <c r="K54" s="627">
        <v>42674</v>
      </c>
      <c r="L54" s="789" t="s">
        <v>434</v>
      </c>
      <c r="M54" s="716"/>
      <c r="N54" s="699"/>
      <c r="O54" s="794"/>
      <c r="P54" s="607"/>
      <c r="Q54" s="641"/>
      <c r="R54" s="642"/>
      <c r="S54" s="642"/>
      <c r="T54" s="642"/>
      <c r="U54" s="642"/>
      <c r="V54" s="642"/>
      <c r="W54" s="642"/>
      <c r="X54" s="642"/>
      <c r="Y54" s="642"/>
      <c r="Z54" s="642"/>
      <c r="AA54" s="642"/>
      <c r="AB54" s="642"/>
      <c r="AC54" s="642"/>
      <c r="AD54" s="607"/>
      <c r="AV54" s="607"/>
      <c r="AW54" s="607"/>
      <c r="AX54" s="607"/>
      <c r="AY54" s="607"/>
      <c r="AZ54" s="607"/>
      <c r="BA54" s="607"/>
      <c r="BB54" s="607"/>
      <c r="BC54" s="607"/>
      <c r="BD54" s="607"/>
      <c r="BE54" s="607"/>
      <c r="BF54" s="607"/>
    </row>
    <row r="55" spans="1:58" ht="30" customHeight="1" thickBot="1" x14ac:dyDescent="0.25">
      <c r="A55" s="677"/>
      <c r="B55" s="1251"/>
      <c r="C55" s="690" t="s">
        <v>412</v>
      </c>
      <c r="D55" s="1256"/>
      <c r="E55" s="790">
        <v>19506160802033</v>
      </c>
      <c r="F55" s="791">
        <v>1099.8</v>
      </c>
      <c r="G55" s="791">
        <v>0.1</v>
      </c>
      <c r="H55" s="791">
        <v>-0.4</v>
      </c>
      <c r="I55" s="791">
        <v>0.17</v>
      </c>
      <c r="J55" s="791">
        <v>2</v>
      </c>
      <c r="K55" s="792">
        <v>42671</v>
      </c>
      <c r="L55" s="800" t="s">
        <v>435</v>
      </c>
      <c r="M55" s="716"/>
      <c r="N55" s="699"/>
      <c r="O55" s="794"/>
      <c r="P55" s="607"/>
      <c r="Q55" s="641"/>
      <c r="R55" s="642"/>
      <c r="S55" s="642"/>
      <c r="T55" s="642"/>
      <c r="U55" s="642"/>
      <c r="V55" s="642"/>
      <c r="W55" s="642"/>
      <c r="X55" s="642"/>
      <c r="Y55" s="642"/>
      <c r="Z55" s="642"/>
      <c r="AA55" s="642"/>
      <c r="AB55" s="642"/>
      <c r="AC55" s="642"/>
      <c r="AD55" s="607"/>
      <c r="AV55" s="607"/>
      <c r="AW55" s="607"/>
      <c r="AX55" s="607"/>
      <c r="AY55" s="607"/>
      <c r="AZ55" s="607"/>
      <c r="BA55" s="607"/>
      <c r="BB55" s="607"/>
      <c r="BC55" s="607"/>
      <c r="BD55" s="607"/>
      <c r="BE55" s="607"/>
      <c r="BF55" s="607"/>
    </row>
    <row r="56" spans="1:58" ht="30" customHeight="1" thickBot="1" x14ac:dyDescent="0.25">
      <c r="A56" s="677"/>
      <c r="B56" s="1252"/>
      <c r="C56" s="801"/>
      <c r="D56" s="797"/>
      <c r="E56" s="924"/>
      <c r="F56" s="797"/>
      <c r="G56" s="797"/>
      <c r="H56" s="797"/>
      <c r="I56" s="797"/>
      <c r="J56" s="797"/>
      <c r="K56" s="798"/>
      <c r="L56" s="799"/>
      <c r="M56" s="716"/>
      <c r="N56" s="699"/>
      <c r="O56" s="794"/>
      <c r="P56" s="607"/>
      <c r="Q56" s="641"/>
      <c r="R56" s="642"/>
      <c r="S56" s="642"/>
      <c r="T56" s="642"/>
      <c r="U56" s="642"/>
      <c r="V56" s="642"/>
      <c r="W56" s="642"/>
      <c r="X56" s="642"/>
      <c r="Y56" s="642"/>
      <c r="Z56" s="642"/>
      <c r="AA56" s="642"/>
      <c r="AB56" s="642"/>
      <c r="AC56" s="642"/>
      <c r="AD56" s="607"/>
      <c r="AV56" s="607"/>
      <c r="AW56" s="607"/>
      <c r="AX56" s="607"/>
      <c r="AY56" s="607"/>
      <c r="AZ56" s="607"/>
      <c r="BA56" s="607"/>
      <c r="BB56" s="607"/>
      <c r="BC56" s="607"/>
      <c r="BD56" s="607"/>
      <c r="BE56" s="607"/>
      <c r="BF56" s="607"/>
    </row>
    <row r="57" spans="1:58" ht="30" customHeight="1" x14ac:dyDescent="0.2">
      <c r="A57" s="677"/>
      <c r="B57" s="1251"/>
      <c r="C57" s="681" t="s">
        <v>405</v>
      </c>
      <c r="D57" s="1254" t="s">
        <v>351</v>
      </c>
      <c r="E57" s="783">
        <v>19406160802033</v>
      </c>
      <c r="F57" s="784">
        <v>20.100000000000001</v>
      </c>
      <c r="G57" s="784">
        <v>0.1</v>
      </c>
      <c r="H57" s="784">
        <v>-0.1</v>
      </c>
      <c r="I57" s="784">
        <v>1.5</v>
      </c>
      <c r="J57" s="784">
        <v>2</v>
      </c>
      <c r="K57" s="786">
        <v>42675</v>
      </c>
      <c r="L57" s="787" t="s">
        <v>436</v>
      </c>
      <c r="M57" s="716"/>
      <c r="N57" s="699"/>
      <c r="O57" s="794"/>
      <c r="P57" s="607"/>
      <c r="Q57" s="641"/>
      <c r="R57" s="642"/>
      <c r="S57" s="642"/>
      <c r="T57" s="642"/>
      <c r="U57" s="642"/>
      <c r="V57" s="642"/>
      <c r="W57" s="642"/>
      <c r="X57" s="642"/>
      <c r="Y57" s="642"/>
      <c r="Z57" s="642"/>
      <c r="AA57" s="642"/>
      <c r="AB57" s="642"/>
      <c r="AC57" s="642"/>
      <c r="AD57" s="607"/>
      <c r="AV57" s="607"/>
      <c r="AW57" s="607"/>
      <c r="AX57" s="607"/>
      <c r="AY57" s="607"/>
      <c r="AZ57" s="607"/>
      <c r="BA57" s="607"/>
      <c r="BB57" s="607"/>
      <c r="BC57" s="607"/>
      <c r="BD57" s="607"/>
      <c r="BE57" s="607"/>
      <c r="BF57" s="607"/>
    </row>
    <row r="58" spans="1:58" ht="30" customHeight="1" x14ac:dyDescent="0.2">
      <c r="A58" s="677"/>
      <c r="B58" s="1251"/>
      <c r="C58" s="625" t="s">
        <v>409</v>
      </c>
      <c r="D58" s="1255"/>
      <c r="E58" s="788">
        <v>19406160802033</v>
      </c>
      <c r="F58" s="626">
        <v>49.8</v>
      </c>
      <c r="G58" s="626">
        <v>0.1</v>
      </c>
      <c r="H58" s="626">
        <v>0.63</v>
      </c>
      <c r="I58" s="626">
        <v>1.6</v>
      </c>
      <c r="J58" s="626">
        <v>2</v>
      </c>
      <c r="K58" s="627">
        <v>42676</v>
      </c>
      <c r="L58" s="789" t="s">
        <v>437</v>
      </c>
      <c r="M58" s="716"/>
      <c r="N58" s="699"/>
      <c r="O58" s="794"/>
      <c r="P58" s="607"/>
      <c r="Q58" s="641"/>
      <c r="R58" s="642"/>
      <c r="S58" s="642"/>
      <c r="T58" s="642"/>
      <c r="U58" s="642"/>
      <c r="V58" s="642"/>
      <c r="W58" s="642"/>
      <c r="X58" s="642"/>
      <c r="Y58" s="642"/>
      <c r="Z58" s="642"/>
      <c r="AA58" s="642"/>
      <c r="AB58" s="642"/>
      <c r="AC58" s="642"/>
      <c r="AD58" s="607"/>
      <c r="AV58" s="607"/>
      <c r="AW58" s="607"/>
      <c r="AX58" s="607"/>
      <c r="AY58" s="607"/>
      <c r="AZ58" s="607"/>
      <c r="BA58" s="607"/>
      <c r="BB58" s="607"/>
      <c r="BC58" s="607"/>
      <c r="BD58" s="607"/>
      <c r="BE58" s="607"/>
      <c r="BF58" s="607"/>
    </row>
    <row r="59" spans="1:58" ht="30" customHeight="1" thickBot="1" x14ac:dyDescent="0.25">
      <c r="A59" s="677"/>
      <c r="B59" s="1251"/>
      <c r="C59" s="690" t="s">
        <v>413</v>
      </c>
      <c r="D59" s="1256"/>
      <c r="E59" s="790">
        <v>19406160802033</v>
      </c>
      <c r="F59" s="791">
        <v>724.6</v>
      </c>
      <c r="G59" s="791">
        <v>0.1</v>
      </c>
      <c r="H59" s="791">
        <v>-0.5</v>
      </c>
      <c r="I59" s="791">
        <v>0.17</v>
      </c>
      <c r="J59" s="791">
        <v>2</v>
      </c>
      <c r="K59" s="792">
        <v>42671</v>
      </c>
      <c r="L59" s="800" t="s">
        <v>438</v>
      </c>
      <c r="M59" s="716"/>
      <c r="N59" s="699"/>
      <c r="O59" s="794"/>
      <c r="P59" s="607"/>
      <c r="Q59" s="641"/>
      <c r="R59" s="642"/>
      <c r="S59" s="642"/>
      <c r="T59" s="642"/>
      <c r="U59" s="642"/>
      <c r="V59" s="642"/>
      <c r="W59" s="642"/>
      <c r="X59" s="642"/>
      <c r="Y59" s="642"/>
      <c r="Z59" s="642"/>
      <c r="AA59" s="642"/>
      <c r="AB59" s="642"/>
      <c r="AC59" s="642"/>
      <c r="AD59" s="607"/>
      <c r="AV59" s="607"/>
      <c r="AW59" s="607"/>
      <c r="AX59" s="607"/>
      <c r="AY59" s="607"/>
      <c r="AZ59" s="607"/>
      <c r="BA59" s="607"/>
      <c r="BB59" s="607"/>
      <c r="BC59" s="607"/>
      <c r="BD59" s="607"/>
      <c r="BE59" s="607"/>
      <c r="BF59" s="607"/>
    </row>
    <row r="60" spans="1:58" ht="30" customHeight="1" thickBot="1" x14ac:dyDescent="0.25">
      <c r="A60" s="677"/>
      <c r="B60" s="1252"/>
      <c r="C60" s="795"/>
      <c r="D60" s="796"/>
      <c r="E60" s="924"/>
      <c r="F60" s="797"/>
      <c r="G60" s="797"/>
      <c r="H60" s="797"/>
      <c r="I60" s="797"/>
      <c r="J60" s="797"/>
      <c r="K60" s="798"/>
      <c r="L60" s="799"/>
      <c r="M60" s="716"/>
      <c r="N60" s="699"/>
      <c r="O60" s="794"/>
      <c r="P60" s="607"/>
      <c r="Q60" s="641"/>
      <c r="R60" s="642"/>
      <c r="S60" s="642"/>
      <c r="T60" s="642"/>
      <c r="U60" s="642"/>
      <c r="V60" s="642"/>
      <c r="W60" s="642"/>
      <c r="X60" s="642"/>
      <c r="Y60" s="642"/>
      <c r="Z60" s="642"/>
      <c r="AA60" s="642"/>
      <c r="AB60" s="642"/>
      <c r="AC60" s="642"/>
      <c r="AD60" s="607"/>
      <c r="AV60" s="607"/>
      <c r="AW60" s="607"/>
      <c r="AX60" s="607"/>
      <c r="AY60" s="607"/>
      <c r="AZ60" s="607"/>
      <c r="BA60" s="607"/>
      <c r="BB60" s="607"/>
      <c r="BC60" s="607"/>
      <c r="BD60" s="607"/>
      <c r="BE60" s="607"/>
      <c r="BF60" s="607"/>
    </row>
    <row r="61" spans="1:58" ht="30" customHeight="1" x14ac:dyDescent="0.2">
      <c r="A61" s="677"/>
      <c r="B61" s="1251"/>
      <c r="C61" s="681" t="s">
        <v>406</v>
      </c>
      <c r="D61" s="1254" t="s">
        <v>351</v>
      </c>
      <c r="E61" s="783">
        <v>2607140802024</v>
      </c>
      <c r="F61" s="784">
        <v>20.100000000000001</v>
      </c>
      <c r="G61" s="784">
        <v>0.1</v>
      </c>
      <c r="H61" s="785">
        <v>0</v>
      </c>
      <c r="I61" s="784">
        <v>0.2</v>
      </c>
      <c r="J61" s="784">
        <v>1.96</v>
      </c>
      <c r="K61" s="786">
        <v>42580</v>
      </c>
      <c r="L61" s="787" t="s">
        <v>439</v>
      </c>
      <c r="M61" s="716"/>
      <c r="N61" s="699"/>
      <c r="O61" s="794"/>
      <c r="P61" s="607"/>
      <c r="Q61" s="641"/>
      <c r="R61" s="642"/>
      <c r="S61" s="642"/>
      <c r="T61" s="642"/>
      <c r="U61" s="642"/>
      <c r="V61" s="642"/>
      <c r="W61" s="642"/>
      <c r="X61" s="642"/>
      <c r="Y61" s="642"/>
      <c r="Z61" s="642"/>
      <c r="AA61" s="642"/>
      <c r="AB61" s="642"/>
      <c r="AC61" s="642"/>
      <c r="AD61" s="607"/>
      <c r="AV61" s="607"/>
      <c r="AW61" s="607"/>
      <c r="AX61" s="607"/>
      <c r="AY61" s="607"/>
      <c r="AZ61" s="607"/>
      <c r="BA61" s="607"/>
      <c r="BB61" s="607"/>
      <c r="BC61" s="607"/>
      <c r="BD61" s="607"/>
      <c r="BE61" s="607"/>
      <c r="BF61" s="607"/>
    </row>
    <row r="62" spans="1:58" ht="30" customHeight="1" x14ac:dyDescent="0.2">
      <c r="A62" s="677"/>
      <c r="B62" s="1251"/>
      <c r="C62" s="625" t="s">
        <v>410</v>
      </c>
      <c r="D62" s="1255"/>
      <c r="E62" s="788">
        <v>2607140802024</v>
      </c>
      <c r="F62" s="626">
        <v>50.6</v>
      </c>
      <c r="G62" s="626">
        <v>0.1</v>
      </c>
      <c r="H62" s="626">
        <v>-0.6</v>
      </c>
      <c r="I62" s="626">
        <v>1.7</v>
      </c>
      <c r="J62" s="626">
        <v>1.96</v>
      </c>
      <c r="K62" s="627">
        <v>42586</v>
      </c>
      <c r="L62" s="789" t="s">
        <v>440</v>
      </c>
      <c r="M62" s="716"/>
      <c r="N62" s="699"/>
      <c r="O62" s="794"/>
      <c r="P62" s="607"/>
      <c r="Q62" s="641"/>
      <c r="R62" s="642"/>
      <c r="S62" s="642"/>
      <c r="T62" s="642"/>
      <c r="U62" s="642"/>
      <c r="V62" s="642"/>
      <c r="W62" s="642"/>
      <c r="X62" s="642"/>
      <c r="Y62" s="642"/>
      <c r="Z62" s="642"/>
      <c r="AA62" s="642"/>
      <c r="AB62" s="642"/>
      <c r="AC62" s="642"/>
      <c r="AD62" s="607"/>
      <c r="AV62" s="607"/>
      <c r="AW62" s="607"/>
      <c r="AX62" s="607"/>
      <c r="AY62" s="607"/>
      <c r="AZ62" s="607"/>
      <c r="BA62" s="607"/>
      <c r="BB62" s="607"/>
      <c r="BC62" s="607"/>
      <c r="BD62" s="607"/>
      <c r="BE62" s="607"/>
      <c r="BF62" s="607"/>
    </row>
    <row r="63" spans="1:58" ht="30" customHeight="1" thickBot="1" x14ac:dyDescent="0.25">
      <c r="A63" s="677"/>
      <c r="B63" s="1251"/>
      <c r="C63" s="690" t="s">
        <v>414</v>
      </c>
      <c r="D63" s="1256"/>
      <c r="E63" s="790">
        <v>2607140802024</v>
      </c>
      <c r="F63" s="791">
        <v>753.2</v>
      </c>
      <c r="G63" s="791">
        <v>0.1</v>
      </c>
      <c r="H63" s="791">
        <v>-0.64100000000000001</v>
      </c>
      <c r="I63" s="791">
        <v>6.4000000000000001E-2</v>
      </c>
      <c r="J63" s="791">
        <v>2</v>
      </c>
      <c r="K63" s="792">
        <v>42625</v>
      </c>
      <c r="L63" s="793" t="s">
        <v>441</v>
      </c>
      <c r="M63" s="716"/>
      <c r="N63" s="699"/>
      <c r="O63" s="794"/>
      <c r="P63" s="607"/>
      <c r="Q63" s="641"/>
      <c r="R63" s="642"/>
      <c r="S63" s="642"/>
      <c r="T63" s="642"/>
      <c r="U63" s="642"/>
      <c r="V63" s="642"/>
      <c r="W63" s="642"/>
      <c r="X63" s="642"/>
      <c r="Y63" s="642"/>
      <c r="Z63" s="642"/>
      <c r="AA63" s="642"/>
      <c r="AB63" s="642"/>
      <c r="AC63" s="642"/>
      <c r="AD63" s="607"/>
      <c r="AV63" s="607"/>
      <c r="AW63" s="607"/>
      <c r="AX63" s="607"/>
      <c r="AY63" s="607"/>
      <c r="AZ63" s="607"/>
      <c r="BA63" s="607"/>
      <c r="BB63" s="607"/>
      <c r="BC63" s="607"/>
      <c r="BD63" s="607"/>
      <c r="BE63" s="607"/>
      <c r="BF63" s="607"/>
    </row>
    <row r="64" spans="1:58" ht="30" customHeight="1" thickBot="1" x14ac:dyDescent="0.25">
      <c r="A64" s="677"/>
      <c r="B64" s="1252"/>
      <c r="C64" s="802"/>
      <c r="D64" s="803"/>
      <c r="E64" s="924"/>
      <c r="F64" s="797"/>
      <c r="G64" s="797"/>
      <c r="H64" s="797"/>
      <c r="I64" s="797"/>
      <c r="J64" s="797"/>
      <c r="K64" s="798"/>
      <c r="L64" s="799"/>
      <c r="M64" s="716"/>
      <c r="N64" s="699"/>
      <c r="O64" s="794"/>
      <c r="P64" s="607"/>
      <c r="Q64" s="641"/>
      <c r="R64" s="642"/>
      <c r="S64" s="642"/>
      <c r="T64" s="642"/>
      <c r="U64" s="642"/>
      <c r="V64" s="642"/>
      <c r="W64" s="642"/>
      <c r="X64" s="642"/>
      <c r="Y64" s="642"/>
      <c r="Z64" s="642"/>
      <c r="AA64" s="642"/>
      <c r="AB64" s="642"/>
      <c r="AC64" s="642"/>
      <c r="AD64" s="607"/>
      <c r="AV64" s="607"/>
      <c r="AW64" s="607"/>
      <c r="AX64" s="607"/>
      <c r="AY64" s="607"/>
      <c r="AZ64" s="607"/>
      <c r="BA64" s="607"/>
      <c r="BB64" s="607"/>
      <c r="BC64" s="607"/>
      <c r="BD64" s="607"/>
      <c r="BE64" s="607"/>
      <c r="BF64" s="607"/>
    </row>
    <row r="65" spans="1:58" ht="30" customHeight="1" x14ac:dyDescent="0.2">
      <c r="A65" s="677"/>
      <c r="B65" s="1252"/>
      <c r="C65" s="681" t="s">
        <v>407</v>
      </c>
      <c r="D65" s="1257" t="s">
        <v>351</v>
      </c>
      <c r="E65" s="804">
        <v>2207140802024</v>
      </c>
      <c r="F65" s="785">
        <v>20</v>
      </c>
      <c r="G65" s="784">
        <v>0.1</v>
      </c>
      <c r="H65" s="784">
        <v>0.1</v>
      </c>
      <c r="I65" s="784">
        <v>0.2</v>
      </c>
      <c r="J65" s="784">
        <v>1.96</v>
      </c>
      <c r="K65" s="786">
        <v>42586</v>
      </c>
      <c r="L65" s="787" t="s">
        <v>442</v>
      </c>
      <c r="M65" s="716"/>
      <c r="N65" s="699"/>
      <c r="O65" s="794"/>
      <c r="P65" s="607"/>
      <c r="Q65" s="641"/>
      <c r="R65" s="642"/>
      <c r="S65" s="642"/>
      <c r="T65" s="642"/>
      <c r="U65" s="642"/>
      <c r="V65" s="642"/>
      <c r="W65" s="642"/>
      <c r="X65" s="642"/>
      <c r="Y65" s="642"/>
      <c r="Z65" s="642"/>
      <c r="AA65" s="642"/>
      <c r="AB65" s="642"/>
      <c r="AC65" s="642"/>
      <c r="AD65" s="607"/>
      <c r="AV65" s="607"/>
      <c r="AW65" s="607"/>
      <c r="AX65" s="607"/>
      <c r="AY65" s="607"/>
      <c r="AZ65" s="607"/>
      <c r="BA65" s="607"/>
      <c r="BB65" s="607"/>
      <c r="BC65" s="607"/>
      <c r="BD65" s="607"/>
      <c r="BE65" s="607"/>
      <c r="BF65" s="607"/>
    </row>
    <row r="66" spans="1:58" ht="30" customHeight="1" x14ac:dyDescent="0.2">
      <c r="A66" s="677"/>
      <c r="B66" s="1252"/>
      <c r="C66" s="625" t="s">
        <v>411</v>
      </c>
      <c r="D66" s="1258"/>
      <c r="E66" s="805">
        <v>2207140802024</v>
      </c>
      <c r="F66" s="626">
        <v>50.5</v>
      </c>
      <c r="G66" s="626">
        <v>0.1</v>
      </c>
      <c r="H66" s="626">
        <v>-0.5</v>
      </c>
      <c r="I66" s="626">
        <v>1.7</v>
      </c>
      <c r="J66" s="626">
        <v>1.96</v>
      </c>
      <c r="K66" s="627">
        <v>42586</v>
      </c>
      <c r="L66" s="789" t="s">
        <v>443</v>
      </c>
      <c r="M66" s="716"/>
      <c r="N66" s="699"/>
      <c r="O66" s="794"/>
      <c r="P66" s="607"/>
      <c r="Q66" s="641"/>
      <c r="R66" s="642"/>
      <c r="S66" s="642"/>
      <c r="T66" s="642"/>
      <c r="U66" s="642"/>
      <c r="V66" s="642"/>
      <c r="W66" s="642"/>
      <c r="X66" s="642"/>
      <c r="Y66" s="642"/>
      <c r="Z66" s="642"/>
      <c r="AA66" s="642"/>
      <c r="AB66" s="642"/>
      <c r="AC66" s="642"/>
      <c r="AD66" s="607"/>
      <c r="AV66" s="607"/>
      <c r="AW66" s="607"/>
      <c r="AX66" s="607"/>
      <c r="AY66" s="607"/>
      <c r="AZ66" s="607"/>
      <c r="BA66" s="607"/>
      <c r="BB66" s="607"/>
      <c r="BC66" s="607"/>
      <c r="BD66" s="607"/>
      <c r="BE66" s="607"/>
      <c r="BF66" s="607"/>
    </row>
    <row r="67" spans="1:58" ht="30" customHeight="1" thickBot="1" x14ac:dyDescent="0.25">
      <c r="A67" s="677"/>
      <c r="B67" s="1253"/>
      <c r="C67" s="690" t="s">
        <v>415</v>
      </c>
      <c r="D67" s="1259"/>
      <c r="E67" s="806">
        <v>2207140802024</v>
      </c>
      <c r="F67" s="791">
        <v>753.2</v>
      </c>
      <c r="G67" s="791">
        <v>0.1</v>
      </c>
      <c r="H67" s="791">
        <v>-0.64100000000000001</v>
      </c>
      <c r="I67" s="791">
        <v>6.4000000000000001E-2</v>
      </c>
      <c r="J67" s="791">
        <v>2</v>
      </c>
      <c r="K67" s="792">
        <v>42625</v>
      </c>
      <c r="L67" s="807" t="s">
        <v>444</v>
      </c>
      <c r="M67" s="716"/>
      <c r="N67" s="699"/>
      <c r="O67" s="794"/>
      <c r="P67" s="607"/>
      <c r="Q67" s="641"/>
      <c r="R67" s="642"/>
      <c r="S67" s="642"/>
      <c r="T67" s="642"/>
      <c r="U67" s="642"/>
      <c r="V67" s="642"/>
      <c r="W67" s="642"/>
      <c r="X67" s="642"/>
      <c r="Y67" s="642"/>
      <c r="Z67" s="642"/>
      <c r="AA67" s="642"/>
      <c r="AB67" s="642"/>
      <c r="AC67" s="642"/>
      <c r="AD67" s="607"/>
      <c r="AV67" s="607"/>
      <c r="AW67" s="607"/>
      <c r="AX67" s="607"/>
      <c r="AY67" s="607"/>
      <c r="AZ67" s="607"/>
      <c r="BA67" s="607"/>
      <c r="BB67" s="607"/>
      <c r="BC67" s="607"/>
      <c r="BD67" s="607"/>
      <c r="BE67" s="607"/>
      <c r="BF67" s="607"/>
    </row>
    <row r="68" spans="1:58" ht="30" customHeight="1" thickBot="1" x14ac:dyDescent="0.25">
      <c r="A68" s="677"/>
      <c r="B68" s="607"/>
      <c r="C68" s="622"/>
      <c r="D68" s="622"/>
      <c r="E68" s="622"/>
      <c r="F68" s="622"/>
      <c r="G68" s="622"/>
      <c r="H68" s="622"/>
      <c r="I68" s="622"/>
      <c r="J68" s="622"/>
      <c r="K68" s="744"/>
      <c r="L68" s="622"/>
      <c r="M68" s="716"/>
      <c r="N68" s="699"/>
      <c r="O68" s="794"/>
      <c r="P68" s="607"/>
      <c r="Q68" s="641"/>
      <c r="R68" s="642"/>
      <c r="S68" s="642"/>
      <c r="T68" s="642"/>
      <c r="U68" s="642"/>
      <c r="V68" s="642"/>
      <c r="W68" s="642"/>
      <c r="X68" s="642"/>
      <c r="Y68" s="642"/>
      <c r="Z68" s="642"/>
      <c r="AA68" s="642"/>
      <c r="AB68" s="642"/>
      <c r="AC68" s="642"/>
      <c r="AD68" s="607"/>
      <c r="AV68" s="607"/>
      <c r="AW68" s="607"/>
      <c r="AX68" s="607"/>
      <c r="AY68" s="607"/>
      <c r="AZ68" s="607"/>
      <c r="BA68" s="607"/>
      <c r="BB68" s="607"/>
      <c r="BC68" s="607"/>
      <c r="BD68" s="607"/>
      <c r="BE68" s="607"/>
      <c r="BF68" s="607"/>
    </row>
    <row r="69" spans="1:58" ht="30" customHeight="1" thickBot="1" x14ac:dyDescent="0.25">
      <c r="A69" s="677"/>
      <c r="B69" s="1235" t="s">
        <v>427</v>
      </c>
      <c r="C69" s="1236"/>
      <c r="D69" s="1236"/>
      <c r="E69" s="1236"/>
      <c r="F69" s="1236"/>
      <c r="G69" s="1236"/>
      <c r="H69" s="1236"/>
      <c r="I69" s="1236"/>
      <c r="J69" s="1236"/>
      <c r="K69" s="1236"/>
      <c r="L69" s="1237"/>
      <c r="M69" s="716"/>
      <c r="N69" s="699"/>
      <c r="O69" s="794"/>
      <c r="P69" s="607"/>
      <c r="Q69" s="641"/>
      <c r="R69" s="642"/>
      <c r="S69" s="642"/>
      <c r="T69" s="642"/>
      <c r="U69" s="642"/>
      <c r="V69" s="642"/>
      <c r="W69" s="642"/>
      <c r="X69" s="642"/>
      <c r="Y69" s="642"/>
      <c r="Z69" s="642"/>
      <c r="AA69" s="642"/>
      <c r="AB69" s="642"/>
      <c r="AC69" s="642"/>
      <c r="AD69" s="607"/>
      <c r="AV69" s="607"/>
      <c r="AW69" s="607"/>
      <c r="AX69" s="607"/>
      <c r="AY69" s="607"/>
      <c r="AZ69" s="607"/>
      <c r="BA69" s="607"/>
      <c r="BB69" s="607"/>
      <c r="BC69" s="607"/>
      <c r="BD69" s="607"/>
      <c r="BE69" s="607"/>
      <c r="BF69" s="607"/>
    </row>
    <row r="70" spans="1:58" ht="60" customHeight="1" thickBot="1" x14ac:dyDescent="0.25">
      <c r="A70" s="677"/>
      <c r="B70" s="607"/>
      <c r="C70" s="745"/>
      <c r="D70" s="776" t="s">
        <v>54</v>
      </c>
      <c r="E70" s="777" t="s">
        <v>341</v>
      </c>
      <c r="F70" s="776" t="s">
        <v>340</v>
      </c>
      <c r="G70" s="776" t="s">
        <v>233</v>
      </c>
      <c r="H70" s="776" t="s">
        <v>294</v>
      </c>
      <c r="I70" s="776" t="s">
        <v>231</v>
      </c>
      <c r="J70" s="776" t="s">
        <v>295</v>
      </c>
      <c r="K70" s="778" t="s">
        <v>232</v>
      </c>
      <c r="L70" s="722" t="s">
        <v>362</v>
      </c>
      <c r="M70" s="716"/>
      <c r="N70" s="699"/>
      <c r="O70" s="794"/>
      <c r="P70" s="607"/>
      <c r="Q70" s="641"/>
      <c r="R70" s="642"/>
      <c r="S70" s="642"/>
      <c r="T70" s="642"/>
      <c r="U70" s="642"/>
      <c r="V70" s="642"/>
      <c r="W70" s="642"/>
      <c r="X70" s="642"/>
      <c r="Y70" s="642"/>
      <c r="Z70" s="642"/>
      <c r="AA70" s="642"/>
      <c r="AB70" s="642"/>
      <c r="AC70" s="642"/>
      <c r="AD70" s="607"/>
      <c r="AV70" s="607"/>
      <c r="AW70" s="607"/>
      <c r="AX70" s="607"/>
      <c r="AY70" s="607"/>
      <c r="AZ70" s="607"/>
      <c r="BA70" s="607"/>
      <c r="BB70" s="607"/>
      <c r="BC70" s="607"/>
      <c r="BD70" s="607"/>
      <c r="BE70" s="607"/>
      <c r="BF70" s="607"/>
    </row>
    <row r="71" spans="1:58" ht="30" customHeight="1" thickBot="1" x14ac:dyDescent="0.25">
      <c r="A71" s="677"/>
      <c r="B71" s="1260" t="s">
        <v>246</v>
      </c>
      <c r="C71" s="808"/>
      <c r="D71" s="809"/>
      <c r="E71" s="810"/>
      <c r="F71" s="810"/>
      <c r="G71" s="810"/>
      <c r="H71" s="810"/>
      <c r="I71" s="810"/>
      <c r="J71" s="810"/>
      <c r="K71" s="811"/>
      <c r="L71" s="698"/>
      <c r="M71" s="716"/>
      <c r="N71" s="699"/>
      <c r="O71" s="794"/>
      <c r="P71" s="607"/>
      <c r="Q71" s="641"/>
      <c r="R71" s="642"/>
      <c r="S71" s="642"/>
      <c r="T71" s="642"/>
      <c r="U71" s="642"/>
      <c r="V71" s="642"/>
      <c r="W71" s="642"/>
      <c r="X71" s="642"/>
      <c r="Y71" s="642"/>
      <c r="Z71" s="642"/>
      <c r="AA71" s="642"/>
      <c r="AB71" s="642"/>
      <c r="AC71" s="642"/>
      <c r="AD71" s="607"/>
      <c r="AV71" s="607"/>
      <c r="AW71" s="607"/>
      <c r="AX71" s="607"/>
      <c r="AY71" s="607"/>
      <c r="AZ71" s="607"/>
      <c r="BA71" s="607"/>
      <c r="BB71" s="607"/>
      <c r="BC71" s="607"/>
      <c r="BD71" s="607"/>
      <c r="BE71" s="607"/>
      <c r="BF71" s="607"/>
    </row>
    <row r="72" spans="1:58" ht="30" customHeight="1" x14ac:dyDescent="0.2">
      <c r="A72" s="677"/>
      <c r="B72" s="1261"/>
      <c r="C72" s="752" t="s">
        <v>281</v>
      </c>
      <c r="D72" s="812" t="s">
        <v>353</v>
      </c>
      <c r="E72" s="648">
        <v>107</v>
      </c>
      <c r="F72" s="784">
        <v>5.0199999999999996</v>
      </c>
      <c r="G72" s="784">
        <v>0.1</v>
      </c>
      <c r="H72" s="784">
        <v>0.02</v>
      </c>
      <c r="I72" s="813">
        <v>0.02</v>
      </c>
      <c r="J72" s="784">
        <v>2.02</v>
      </c>
      <c r="K72" s="786">
        <v>42523</v>
      </c>
      <c r="L72" s="814" t="s">
        <v>445</v>
      </c>
      <c r="M72" s="716"/>
      <c r="N72" s="699"/>
      <c r="O72" s="794"/>
      <c r="P72" s="607"/>
      <c r="Q72" s="641"/>
      <c r="R72" s="642"/>
      <c r="S72" s="642"/>
      <c r="T72" s="642"/>
      <c r="U72" s="642"/>
      <c r="V72" s="642"/>
      <c r="W72" s="642"/>
      <c r="X72" s="642"/>
      <c r="Y72" s="642"/>
      <c r="Z72" s="642"/>
      <c r="AA72" s="642"/>
      <c r="AB72" s="642"/>
      <c r="AC72" s="642"/>
      <c r="AD72" s="607"/>
      <c r="AV72" s="607"/>
      <c r="AW72" s="607"/>
      <c r="AX72" s="607"/>
      <c r="AY72" s="607"/>
      <c r="AZ72" s="607"/>
      <c r="BA72" s="607"/>
      <c r="BB72" s="607"/>
      <c r="BC72" s="607"/>
      <c r="BD72" s="607"/>
      <c r="BE72" s="607"/>
      <c r="BF72" s="607"/>
    </row>
    <row r="73" spans="1:58" ht="30" customHeight="1" x14ac:dyDescent="0.2">
      <c r="A73" s="677"/>
      <c r="B73" s="1261"/>
      <c r="C73" s="815" t="s">
        <v>282</v>
      </c>
      <c r="D73" s="816" t="s">
        <v>352</v>
      </c>
      <c r="E73" s="628">
        <v>27760</v>
      </c>
      <c r="F73" s="626">
        <v>5.0199999999999996</v>
      </c>
      <c r="G73" s="626">
        <v>0.05</v>
      </c>
      <c r="H73" s="626">
        <v>0.02</v>
      </c>
      <c r="I73" s="626">
        <v>3.7999999999999999E-2</v>
      </c>
      <c r="J73" s="685">
        <v>2</v>
      </c>
      <c r="K73" s="627">
        <v>43027</v>
      </c>
      <c r="L73" s="817" t="s">
        <v>448</v>
      </c>
      <c r="M73" s="716"/>
      <c r="N73" s="699"/>
      <c r="O73" s="794"/>
      <c r="P73" s="607"/>
      <c r="Q73" s="641"/>
      <c r="R73" s="642"/>
      <c r="S73" s="642"/>
      <c r="T73" s="642"/>
      <c r="U73" s="642"/>
      <c r="V73" s="642"/>
      <c r="W73" s="642"/>
      <c r="X73" s="642"/>
      <c r="Y73" s="642"/>
      <c r="Z73" s="642"/>
      <c r="AA73" s="642"/>
      <c r="AB73" s="642"/>
      <c r="AC73" s="642"/>
      <c r="AD73" s="607"/>
      <c r="AV73" s="607"/>
      <c r="AW73" s="607"/>
      <c r="AX73" s="607"/>
      <c r="AY73" s="607"/>
      <c r="AZ73" s="607"/>
      <c r="BA73" s="607"/>
      <c r="BB73" s="607"/>
      <c r="BC73" s="607"/>
      <c r="BD73" s="607"/>
      <c r="BE73" s="607"/>
      <c r="BF73" s="607"/>
    </row>
    <row r="74" spans="1:58" ht="30" customHeight="1" x14ac:dyDescent="0.2">
      <c r="A74" s="677"/>
      <c r="B74" s="1261"/>
      <c r="C74" s="815" t="s">
        <v>283</v>
      </c>
      <c r="D74" s="816" t="s">
        <v>354</v>
      </c>
      <c r="E74" s="628">
        <v>713</v>
      </c>
      <c r="F74" s="626">
        <v>10.039999999999999</v>
      </c>
      <c r="G74" s="626">
        <v>0.1</v>
      </c>
      <c r="H74" s="626">
        <v>0.04</v>
      </c>
      <c r="I74" s="626">
        <v>1.9E-2</v>
      </c>
      <c r="J74" s="626">
        <v>2.02</v>
      </c>
      <c r="K74" s="627">
        <v>42523</v>
      </c>
      <c r="L74" s="817" t="s">
        <v>446</v>
      </c>
      <c r="M74" s="716"/>
      <c r="N74" s="699"/>
      <c r="O74" s="794"/>
      <c r="P74" s="607"/>
      <c r="Q74" s="641"/>
      <c r="R74" s="642"/>
      <c r="S74" s="642"/>
      <c r="T74" s="642"/>
      <c r="U74" s="642"/>
      <c r="V74" s="642"/>
      <c r="W74" s="642"/>
      <c r="X74" s="642"/>
      <c r="Y74" s="642"/>
      <c r="Z74" s="642"/>
      <c r="AA74" s="642"/>
      <c r="AB74" s="642"/>
      <c r="AC74" s="642"/>
      <c r="AD74" s="607"/>
      <c r="AV74" s="607"/>
      <c r="AW74" s="607"/>
      <c r="AX74" s="607"/>
      <c r="AY74" s="607"/>
      <c r="AZ74" s="607"/>
      <c r="BA74" s="607"/>
      <c r="BB74" s="607"/>
      <c r="BC74" s="607"/>
      <c r="BD74" s="607"/>
      <c r="BE74" s="607"/>
      <c r="BF74" s="607"/>
    </row>
    <row r="75" spans="1:58" ht="30" customHeight="1" x14ac:dyDescent="0.2">
      <c r="A75" s="677"/>
      <c r="B75" s="1261"/>
      <c r="C75" s="815" t="s">
        <v>284</v>
      </c>
      <c r="D75" s="816" t="s">
        <v>352</v>
      </c>
      <c r="E75" s="628">
        <v>27761</v>
      </c>
      <c r="F75" s="626">
        <v>10.02</v>
      </c>
      <c r="G75" s="626">
        <v>0.1</v>
      </c>
      <c r="H75" s="626">
        <v>0.02</v>
      </c>
      <c r="I75" s="626">
        <v>6.7000000000000004E-2</v>
      </c>
      <c r="J75" s="685">
        <v>2</v>
      </c>
      <c r="K75" s="627">
        <v>43020</v>
      </c>
      <c r="L75" s="817" t="s">
        <v>449</v>
      </c>
      <c r="M75" s="716"/>
      <c r="N75" s="699"/>
      <c r="O75" s="794"/>
      <c r="P75" s="607"/>
      <c r="Q75" s="641"/>
      <c r="R75" s="642"/>
      <c r="S75" s="642"/>
      <c r="T75" s="642"/>
      <c r="U75" s="642"/>
      <c r="V75" s="642"/>
      <c r="W75" s="642"/>
      <c r="X75" s="642"/>
      <c r="Y75" s="642"/>
      <c r="Z75" s="642"/>
      <c r="AA75" s="642"/>
      <c r="AB75" s="642"/>
      <c r="AC75" s="642"/>
      <c r="AD75" s="607"/>
      <c r="AV75" s="607"/>
      <c r="AW75" s="607"/>
      <c r="AX75" s="607"/>
      <c r="AY75" s="607"/>
      <c r="AZ75" s="607"/>
      <c r="BA75" s="607"/>
      <c r="BB75" s="607"/>
      <c r="BC75" s="607"/>
      <c r="BD75" s="607"/>
      <c r="BE75" s="607"/>
      <c r="BF75" s="607"/>
    </row>
    <row r="76" spans="1:58" ht="30" customHeight="1" thickBot="1" x14ac:dyDescent="0.25">
      <c r="A76" s="677"/>
      <c r="B76" s="1262"/>
      <c r="C76" s="818" t="s">
        <v>285</v>
      </c>
      <c r="D76" s="819" t="s">
        <v>352</v>
      </c>
      <c r="E76" s="820">
        <v>27762</v>
      </c>
      <c r="F76" s="791">
        <v>24.9</v>
      </c>
      <c r="G76" s="791">
        <v>0.1</v>
      </c>
      <c r="H76" s="791">
        <v>-0.1</v>
      </c>
      <c r="I76" s="791">
        <v>6.5000000000000002E-2</v>
      </c>
      <c r="J76" s="821">
        <v>2</v>
      </c>
      <c r="K76" s="792">
        <v>43025</v>
      </c>
      <c r="L76" s="822" t="s">
        <v>450</v>
      </c>
      <c r="M76" s="716"/>
      <c r="N76" s="699"/>
      <c r="O76" s="794"/>
      <c r="P76" s="607"/>
      <c r="Q76" s="641"/>
      <c r="R76" s="642"/>
      <c r="S76" s="642"/>
      <c r="T76" s="642"/>
      <c r="U76" s="642"/>
      <c r="V76" s="642"/>
      <c r="W76" s="642"/>
      <c r="X76" s="642"/>
      <c r="Y76" s="642"/>
      <c r="Z76" s="642"/>
      <c r="AA76" s="642"/>
      <c r="AB76" s="642"/>
      <c r="AC76" s="642"/>
      <c r="AD76" s="607"/>
      <c r="AV76" s="607"/>
      <c r="AW76" s="607"/>
      <c r="AX76" s="607"/>
      <c r="AY76" s="607"/>
      <c r="AZ76" s="607"/>
      <c r="BA76" s="607"/>
      <c r="BB76" s="607"/>
      <c r="BC76" s="607"/>
      <c r="BD76" s="607"/>
      <c r="BE76" s="607"/>
      <c r="BF76" s="607"/>
    </row>
    <row r="77" spans="1:58" ht="30" customHeight="1" thickBot="1" x14ac:dyDescent="0.25">
      <c r="A77" s="677"/>
      <c r="B77" s="607"/>
      <c r="C77" s="622"/>
      <c r="D77" s="622"/>
      <c r="E77" s="622"/>
      <c r="F77" s="622"/>
      <c r="G77" s="622"/>
      <c r="H77" s="622"/>
      <c r="I77" s="622"/>
      <c r="J77" s="622"/>
      <c r="K77" s="744"/>
      <c r="L77" s="622"/>
      <c r="M77" s="716"/>
      <c r="N77" s="699"/>
      <c r="O77" s="794"/>
      <c r="P77" s="607"/>
      <c r="Q77" s="641"/>
      <c r="R77" s="642"/>
      <c r="S77" s="642"/>
      <c r="T77" s="642"/>
      <c r="U77" s="642"/>
      <c r="V77" s="642"/>
      <c r="W77" s="642"/>
      <c r="X77" s="642"/>
      <c r="Y77" s="642"/>
      <c r="Z77" s="642"/>
      <c r="AA77" s="642"/>
      <c r="AB77" s="642"/>
      <c r="AC77" s="642"/>
      <c r="AD77" s="607"/>
      <c r="AV77" s="607"/>
      <c r="AW77" s="607"/>
      <c r="AX77" s="607"/>
      <c r="AY77" s="607"/>
      <c r="AZ77" s="607"/>
      <c r="BA77" s="607"/>
      <c r="BB77" s="607"/>
      <c r="BC77" s="607"/>
      <c r="BD77" s="607"/>
      <c r="BE77" s="607"/>
      <c r="BF77" s="607"/>
    </row>
    <row r="78" spans="1:58" ht="30" customHeight="1" thickBot="1" x14ac:dyDescent="0.25">
      <c r="A78" s="677"/>
      <c r="B78" s="1235" t="s">
        <v>427</v>
      </c>
      <c r="C78" s="1236"/>
      <c r="D78" s="1236"/>
      <c r="E78" s="1236"/>
      <c r="F78" s="1236"/>
      <c r="G78" s="1236"/>
      <c r="H78" s="1236"/>
      <c r="I78" s="1236"/>
      <c r="J78" s="1236"/>
      <c r="K78" s="1236"/>
      <c r="L78" s="1237"/>
      <c r="M78" s="716"/>
      <c r="N78" s="699"/>
      <c r="O78" s="794"/>
      <c r="P78" s="607"/>
      <c r="Q78" s="641"/>
      <c r="R78" s="642"/>
      <c r="S78" s="642"/>
      <c r="T78" s="642"/>
      <c r="U78" s="642"/>
      <c r="V78" s="642"/>
      <c r="W78" s="642"/>
      <c r="X78" s="642"/>
      <c r="Y78" s="642"/>
      <c r="Z78" s="642"/>
      <c r="AA78" s="642"/>
      <c r="AB78" s="642"/>
      <c r="AC78" s="642"/>
      <c r="AD78" s="607"/>
      <c r="AV78" s="607"/>
      <c r="AW78" s="607"/>
      <c r="AX78" s="607"/>
      <c r="AY78" s="607"/>
      <c r="AZ78" s="607"/>
      <c r="BA78" s="607"/>
      <c r="BB78" s="607"/>
      <c r="BC78" s="607"/>
      <c r="BD78" s="607"/>
      <c r="BE78" s="607"/>
      <c r="BF78" s="607"/>
    </row>
    <row r="79" spans="1:58" ht="60" customHeight="1" thickBot="1" x14ac:dyDescent="0.25">
      <c r="A79" s="677"/>
      <c r="B79" s="607"/>
      <c r="C79" s="745"/>
      <c r="D79" s="776" t="s">
        <v>54</v>
      </c>
      <c r="E79" s="777" t="s">
        <v>339</v>
      </c>
      <c r="F79" s="776" t="s">
        <v>340</v>
      </c>
      <c r="G79" s="776" t="s">
        <v>233</v>
      </c>
      <c r="H79" s="776" t="s">
        <v>294</v>
      </c>
      <c r="I79" s="776" t="s">
        <v>231</v>
      </c>
      <c r="J79" s="776" t="s">
        <v>295</v>
      </c>
      <c r="K79" s="778" t="s">
        <v>232</v>
      </c>
      <c r="L79" s="722" t="s">
        <v>362</v>
      </c>
      <c r="M79" s="716"/>
      <c r="N79" s="699"/>
      <c r="O79" s="794"/>
      <c r="P79" s="607"/>
      <c r="Q79" s="641"/>
      <c r="R79" s="642"/>
      <c r="S79" s="642"/>
      <c r="T79" s="642"/>
      <c r="U79" s="642"/>
      <c r="V79" s="642"/>
      <c r="W79" s="642"/>
      <c r="X79" s="642"/>
      <c r="Y79" s="642"/>
      <c r="Z79" s="642"/>
      <c r="AA79" s="642"/>
      <c r="AB79" s="642"/>
      <c r="AC79" s="642"/>
      <c r="AD79" s="607"/>
      <c r="AV79" s="607"/>
      <c r="AW79" s="607"/>
      <c r="AX79" s="607"/>
      <c r="AY79" s="607"/>
      <c r="AZ79" s="607"/>
      <c r="BA79" s="607"/>
      <c r="BB79" s="607"/>
      <c r="BC79" s="607"/>
      <c r="BD79" s="607"/>
      <c r="BE79" s="607"/>
      <c r="BF79" s="607"/>
    </row>
    <row r="80" spans="1:58" ht="30" customHeight="1" thickBot="1" x14ac:dyDescent="0.25">
      <c r="A80" s="677"/>
      <c r="B80" s="1263" t="s">
        <v>247</v>
      </c>
      <c r="C80" s="808"/>
      <c r="D80" s="823"/>
      <c r="E80" s="743"/>
      <c r="F80" s="743"/>
      <c r="G80" s="743"/>
      <c r="H80" s="743"/>
      <c r="I80" s="743"/>
      <c r="J80" s="743"/>
      <c r="K80" s="824"/>
      <c r="L80" s="698"/>
      <c r="M80" s="716"/>
      <c r="N80" s="699"/>
      <c r="O80" s="794"/>
      <c r="P80" s="607"/>
      <c r="Q80" s="641"/>
      <c r="R80" s="642"/>
      <c r="S80" s="642"/>
      <c r="T80" s="642"/>
      <c r="U80" s="642"/>
      <c r="V80" s="642"/>
      <c r="W80" s="642"/>
      <c r="X80" s="642"/>
      <c r="Y80" s="642"/>
      <c r="Z80" s="642"/>
      <c r="AA80" s="642"/>
      <c r="AB80" s="642"/>
      <c r="AC80" s="642"/>
      <c r="AD80" s="607"/>
      <c r="AV80" s="607"/>
      <c r="AW80" s="607"/>
      <c r="AX80" s="607"/>
      <c r="AY80" s="607"/>
      <c r="AZ80" s="607"/>
      <c r="BA80" s="607"/>
      <c r="BB80" s="607"/>
      <c r="BC80" s="607"/>
      <c r="BD80" s="607"/>
      <c r="BE80" s="607"/>
      <c r="BF80" s="607"/>
    </row>
    <row r="81" spans="1:58" ht="30" customHeight="1" x14ac:dyDescent="0.2">
      <c r="A81" s="677"/>
      <c r="B81" s="1261"/>
      <c r="C81" s="752" t="s">
        <v>286</v>
      </c>
      <c r="D81" s="812" t="s">
        <v>355</v>
      </c>
      <c r="E81" s="648" t="s">
        <v>451</v>
      </c>
      <c r="F81" s="784" t="s">
        <v>253</v>
      </c>
      <c r="G81" s="785">
        <v>1</v>
      </c>
      <c r="H81" s="784">
        <v>0.27</v>
      </c>
      <c r="I81" s="825">
        <v>0.17</v>
      </c>
      <c r="J81" s="825">
        <v>2.1</v>
      </c>
      <c r="K81" s="786">
        <v>42523</v>
      </c>
      <c r="L81" s="814" t="s">
        <v>447</v>
      </c>
      <c r="M81" s="716"/>
      <c r="N81" s="699"/>
      <c r="O81" s="794"/>
      <c r="P81" s="607"/>
      <c r="Q81" s="641"/>
      <c r="R81" s="642"/>
      <c r="S81" s="642"/>
      <c r="T81" s="642"/>
      <c r="U81" s="642"/>
      <c r="V81" s="642"/>
      <c r="W81" s="642"/>
      <c r="X81" s="642"/>
      <c r="Y81" s="642"/>
      <c r="Z81" s="642"/>
      <c r="AA81" s="642"/>
      <c r="AB81" s="642"/>
      <c r="AC81" s="642"/>
      <c r="AD81" s="607"/>
      <c r="AV81" s="607"/>
      <c r="AW81" s="607"/>
      <c r="AX81" s="607"/>
      <c r="AY81" s="607"/>
      <c r="AZ81" s="607"/>
      <c r="BA81" s="607"/>
      <c r="BB81" s="607"/>
      <c r="BC81" s="607"/>
      <c r="BD81" s="607"/>
      <c r="BE81" s="607"/>
      <c r="BF81" s="607"/>
    </row>
    <row r="82" spans="1:58" ht="30" customHeight="1" x14ac:dyDescent="0.2">
      <c r="A82" s="677"/>
      <c r="B82" s="1261"/>
      <c r="C82" s="815" t="s">
        <v>287</v>
      </c>
      <c r="D82" s="816" t="s">
        <v>352</v>
      </c>
      <c r="E82" s="628">
        <v>27755</v>
      </c>
      <c r="F82" s="626">
        <v>499.68</v>
      </c>
      <c r="G82" s="685">
        <v>5</v>
      </c>
      <c r="H82" s="626">
        <v>-0.32</v>
      </c>
      <c r="I82" s="626">
        <v>2.9</v>
      </c>
      <c r="J82" s="685">
        <v>2</v>
      </c>
      <c r="K82" s="627">
        <v>43010</v>
      </c>
      <c r="L82" s="826" t="s">
        <v>452</v>
      </c>
      <c r="M82" s="716"/>
      <c r="N82" s="699"/>
      <c r="O82" s="794"/>
      <c r="P82" s="607"/>
      <c r="Q82" s="641"/>
      <c r="R82" s="642"/>
      <c r="S82" s="642"/>
      <c r="T82" s="642"/>
      <c r="U82" s="642"/>
      <c r="V82" s="642"/>
      <c r="W82" s="642"/>
      <c r="X82" s="642"/>
      <c r="Y82" s="642"/>
      <c r="Z82" s="642"/>
      <c r="AA82" s="642"/>
      <c r="AB82" s="642"/>
      <c r="AC82" s="642"/>
      <c r="AD82" s="607"/>
      <c r="AV82" s="607"/>
      <c r="AW82" s="607"/>
      <c r="AX82" s="607"/>
      <c r="AY82" s="607"/>
      <c r="AZ82" s="607"/>
      <c r="BA82" s="607"/>
      <c r="BB82" s="607"/>
      <c r="BC82" s="607"/>
      <c r="BD82" s="607"/>
      <c r="BE82" s="607"/>
      <c r="BF82" s="607"/>
    </row>
    <row r="83" spans="1:58" ht="30" customHeight="1" x14ac:dyDescent="0.2">
      <c r="A83" s="677"/>
      <c r="B83" s="1261"/>
      <c r="C83" s="815" t="s">
        <v>288</v>
      </c>
      <c r="D83" s="816" t="s">
        <v>352</v>
      </c>
      <c r="E83" s="626">
        <v>27756</v>
      </c>
      <c r="F83" s="626">
        <v>500.25</v>
      </c>
      <c r="G83" s="685">
        <v>5</v>
      </c>
      <c r="H83" s="626">
        <v>0.25</v>
      </c>
      <c r="I83" s="626">
        <v>2.9</v>
      </c>
      <c r="J83" s="685">
        <v>2</v>
      </c>
      <c r="K83" s="627">
        <v>43011</v>
      </c>
      <c r="L83" s="826" t="s">
        <v>453</v>
      </c>
      <c r="M83" s="716"/>
      <c r="N83" s="699"/>
      <c r="O83" s="794"/>
      <c r="P83" s="607"/>
      <c r="Q83" s="641"/>
      <c r="R83" s="642"/>
      <c r="S83" s="642"/>
      <c r="T83" s="642"/>
      <c r="U83" s="642"/>
      <c r="V83" s="642"/>
      <c r="W83" s="642"/>
      <c r="X83" s="642"/>
      <c r="Y83" s="642"/>
      <c r="Z83" s="642"/>
      <c r="AA83" s="642"/>
      <c r="AB83" s="642"/>
      <c r="AC83" s="642"/>
      <c r="AD83" s="607"/>
      <c r="AV83" s="607"/>
      <c r="AW83" s="607"/>
      <c r="AX83" s="607"/>
      <c r="AY83" s="607"/>
      <c r="AZ83" s="607"/>
      <c r="BA83" s="607"/>
      <c r="BB83" s="607"/>
      <c r="BC83" s="607"/>
      <c r="BD83" s="607"/>
      <c r="BE83" s="607"/>
      <c r="BF83" s="607"/>
    </row>
    <row r="84" spans="1:58" ht="30" customHeight="1" x14ac:dyDescent="0.2">
      <c r="A84" s="677"/>
      <c r="B84" s="1261"/>
      <c r="C84" s="815" t="s">
        <v>289</v>
      </c>
      <c r="D84" s="816" t="s">
        <v>352</v>
      </c>
      <c r="E84" s="626">
        <v>27757</v>
      </c>
      <c r="F84" s="626">
        <v>500.46</v>
      </c>
      <c r="G84" s="685">
        <v>5</v>
      </c>
      <c r="H84" s="626">
        <v>0.46</v>
      </c>
      <c r="I84" s="626">
        <v>2.9</v>
      </c>
      <c r="J84" s="685">
        <v>2</v>
      </c>
      <c r="K84" s="627">
        <v>43017</v>
      </c>
      <c r="L84" s="826" t="s">
        <v>454</v>
      </c>
      <c r="M84" s="716"/>
      <c r="N84" s="699"/>
      <c r="O84" s="794"/>
      <c r="P84" s="607"/>
      <c r="Q84" s="641"/>
      <c r="R84" s="642"/>
      <c r="S84" s="642"/>
      <c r="T84" s="642"/>
      <c r="U84" s="642"/>
      <c r="V84" s="642"/>
      <c r="W84" s="642"/>
      <c r="X84" s="642"/>
      <c r="Y84" s="642"/>
      <c r="Z84" s="642"/>
      <c r="AA84" s="642"/>
      <c r="AB84" s="642"/>
      <c r="AC84" s="642"/>
      <c r="AD84" s="607"/>
      <c r="AV84" s="607"/>
      <c r="AW84" s="607"/>
      <c r="AX84" s="607"/>
      <c r="AY84" s="607"/>
      <c r="AZ84" s="607"/>
      <c r="BA84" s="607"/>
      <c r="BB84" s="607"/>
      <c r="BC84" s="607"/>
      <c r="BD84" s="607"/>
      <c r="BE84" s="607"/>
      <c r="BF84" s="607"/>
    </row>
    <row r="85" spans="1:58" ht="30" customHeight="1" x14ac:dyDescent="0.2">
      <c r="A85" s="677"/>
      <c r="B85" s="1261"/>
      <c r="C85" s="815" t="s">
        <v>290</v>
      </c>
      <c r="D85" s="816" t="s">
        <v>352</v>
      </c>
      <c r="E85" s="626">
        <v>27758</v>
      </c>
      <c r="F85" s="626">
        <v>500.34800000000001</v>
      </c>
      <c r="G85" s="685">
        <v>5</v>
      </c>
      <c r="H85" s="626">
        <v>0.34799999999999998</v>
      </c>
      <c r="I85" s="626">
        <v>3.5000000000000003E-2</v>
      </c>
      <c r="J85" s="626">
        <v>2</v>
      </c>
      <c r="K85" s="627">
        <v>42769</v>
      </c>
      <c r="L85" s="826" t="s">
        <v>455</v>
      </c>
      <c r="M85" s="716"/>
      <c r="N85" s="699"/>
      <c r="O85" s="794"/>
      <c r="P85" s="607"/>
      <c r="Q85" s="641"/>
      <c r="R85" s="642"/>
      <c r="S85" s="642"/>
      <c r="T85" s="642"/>
      <c r="U85" s="642"/>
      <c r="V85" s="642"/>
      <c r="W85" s="642"/>
      <c r="X85" s="642"/>
      <c r="Y85" s="642"/>
      <c r="Z85" s="642"/>
      <c r="AA85" s="642"/>
      <c r="AB85" s="642"/>
      <c r="AC85" s="642"/>
      <c r="AD85" s="607"/>
      <c r="AV85" s="607"/>
      <c r="AW85" s="607"/>
      <c r="AX85" s="607"/>
      <c r="AY85" s="607"/>
      <c r="AZ85" s="607"/>
      <c r="BA85" s="607"/>
      <c r="BB85" s="607"/>
      <c r="BC85" s="607"/>
      <c r="BD85" s="607"/>
      <c r="BE85" s="607"/>
      <c r="BF85" s="607"/>
    </row>
    <row r="86" spans="1:58" ht="30" customHeight="1" thickBot="1" x14ac:dyDescent="0.25">
      <c r="A86" s="677"/>
      <c r="B86" s="1262"/>
      <c r="C86" s="818" t="s">
        <v>291</v>
      </c>
      <c r="D86" s="819" t="s">
        <v>352</v>
      </c>
      <c r="E86" s="791">
        <v>27759</v>
      </c>
      <c r="F86" s="791">
        <v>1000.625</v>
      </c>
      <c r="G86" s="821">
        <v>10</v>
      </c>
      <c r="H86" s="791">
        <v>0.625</v>
      </c>
      <c r="I86" s="791">
        <v>3.9E-2</v>
      </c>
      <c r="J86" s="791">
        <v>2</v>
      </c>
      <c r="K86" s="792">
        <v>42769</v>
      </c>
      <c r="L86" s="827" t="s">
        <v>456</v>
      </c>
      <c r="M86" s="716"/>
      <c r="N86" s="699"/>
      <c r="O86" s="794"/>
      <c r="P86" s="607"/>
      <c r="Q86" s="641"/>
      <c r="R86" s="642"/>
      <c r="S86" s="642"/>
      <c r="T86" s="642"/>
      <c r="U86" s="642"/>
      <c r="V86" s="642"/>
      <c r="W86" s="642"/>
      <c r="X86" s="642"/>
      <c r="Y86" s="642"/>
      <c r="Z86" s="642"/>
      <c r="AA86" s="642"/>
      <c r="AB86" s="642"/>
      <c r="AC86" s="642"/>
      <c r="AD86" s="607"/>
      <c r="AV86" s="607"/>
      <c r="AW86" s="607"/>
      <c r="AX86" s="607"/>
      <c r="AY86" s="607"/>
      <c r="AZ86" s="607"/>
      <c r="BA86" s="607"/>
      <c r="BB86" s="607"/>
      <c r="BC86" s="607"/>
      <c r="BD86" s="607"/>
      <c r="BE86" s="607"/>
      <c r="BF86" s="607"/>
    </row>
    <row r="87" spans="1:58" ht="30" customHeight="1" thickBot="1" x14ac:dyDescent="0.25">
      <c r="A87" s="677"/>
      <c r="B87" s="607"/>
      <c r="C87" s="622"/>
      <c r="D87" s="622"/>
      <c r="E87" s="622"/>
      <c r="F87" s="622"/>
      <c r="G87" s="622"/>
      <c r="H87" s="622"/>
      <c r="I87" s="622"/>
      <c r="J87" s="622"/>
      <c r="K87" s="744"/>
      <c r="L87" s="622"/>
      <c r="M87" s="716"/>
      <c r="N87" s="699"/>
      <c r="O87" s="794"/>
      <c r="P87" s="607"/>
      <c r="Q87" s="641"/>
      <c r="R87" s="642"/>
      <c r="S87" s="642"/>
      <c r="T87" s="642"/>
      <c r="U87" s="642"/>
      <c r="V87" s="642"/>
      <c r="W87" s="642"/>
      <c r="X87" s="642"/>
      <c r="Y87" s="642"/>
      <c r="Z87" s="642"/>
      <c r="AA87" s="642"/>
      <c r="AB87" s="642"/>
      <c r="AC87" s="642"/>
      <c r="AD87" s="607"/>
      <c r="AV87" s="607"/>
      <c r="AW87" s="607"/>
      <c r="AX87" s="607"/>
      <c r="AY87" s="607"/>
      <c r="AZ87" s="607"/>
      <c r="BA87" s="607"/>
      <c r="BB87" s="607"/>
      <c r="BC87" s="607"/>
      <c r="BD87" s="607"/>
      <c r="BE87" s="607"/>
      <c r="BF87" s="607"/>
    </row>
    <row r="88" spans="1:58" ht="30" customHeight="1" thickBot="1" x14ac:dyDescent="0.25">
      <c r="A88" s="677"/>
      <c r="B88" s="1235" t="s">
        <v>259</v>
      </c>
      <c r="C88" s="1236"/>
      <c r="D88" s="1236"/>
      <c r="E88" s="1236"/>
      <c r="F88" s="1236"/>
      <c r="G88" s="1236"/>
      <c r="H88" s="1236"/>
      <c r="I88" s="1236"/>
      <c r="J88" s="1236"/>
      <c r="K88" s="1236"/>
      <c r="L88" s="1237"/>
      <c r="M88" s="716"/>
      <c r="N88" s="699"/>
      <c r="O88" s="794"/>
      <c r="P88" s="607"/>
      <c r="Q88" s="641"/>
      <c r="R88" s="642"/>
      <c r="S88" s="642"/>
      <c r="T88" s="642"/>
      <c r="U88" s="642"/>
      <c r="V88" s="642"/>
      <c r="W88" s="642"/>
      <c r="X88" s="642"/>
      <c r="Y88" s="642"/>
      <c r="Z88" s="642"/>
      <c r="AA88" s="642"/>
      <c r="AB88" s="642"/>
      <c r="AC88" s="642"/>
      <c r="AD88" s="607"/>
      <c r="AV88" s="607"/>
      <c r="AW88" s="607"/>
      <c r="AX88" s="607"/>
      <c r="AY88" s="607"/>
      <c r="AZ88" s="607"/>
      <c r="BA88" s="607"/>
      <c r="BB88" s="607"/>
      <c r="BC88" s="607"/>
      <c r="BD88" s="607"/>
      <c r="BE88" s="607"/>
      <c r="BF88" s="607"/>
    </row>
    <row r="89" spans="1:58" ht="60" customHeight="1" thickBot="1" x14ac:dyDescent="0.25">
      <c r="A89" s="677"/>
      <c r="B89" s="1247" t="s">
        <v>248</v>
      </c>
      <c r="C89" s="745"/>
      <c r="D89" s="776" t="s">
        <v>54</v>
      </c>
      <c r="E89" s="777" t="s">
        <v>341</v>
      </c>
      <c r="F89" s="776" t="s">
        <v>340</v>
      </c>
      <c r="G89" s="776" t="s">
        <v>233</v>
      </c>
      <c r="H89" s="776" t="s">
        <v>294</v>
      </c>
      <c r="I89" s="776" t="s">
        <v>231</v>
      </c>
      <c r="J89" s="776" t="s">
        <v>295</v>
      </c>
      <c r="K89" s="778" t="s">
        <v>232</v>
      </c>
      <c r="L89" s="722" t="s">
        <v>362</v>
      </c>
      <c r="M89" s="716"/>
      <c r="N89" s="699"/>
      <c r="O89" s="794"/>
      <c r="P89" s="607"/>
      <c r="Q89" s="641"/>
      <c r="R89" s="642"/>
      <c r="S89" s="642"/>
      <c r="T89" s="642"/>
      <c r="U89" s="642"/>
      <c r="V89" s="642"/>
      <c r="W89" s="642"/>
      <c r="X89" s="642"/>
      <c r="Y89" s="642"/>
      <c r="Z89" s="642"/>
      <c r="AA89" s="642"/>
      <c r="AB89" s="642"/>
      <c r="AC89" s="642"/>
      <c r="AD89" s="607"/>
      <c r="AV89" s="607"/>
      <c r="AW89" s="607"/>
      <c r="AX89" s="607"/>
      <c r="AY89" s="607"/>
      <c r="AZ89" s="607"/>
      <c r="BA89" s="607"/>
      <c r="BB89" s="607"/>
      <c r="BC89" s="607"/>
      <c r="BD89" s="607"/>
      <c r="BE89" s="607"/>
      <c r="BF89" s="607"/>
    </row>
    <row r="90" spans="1:58" ht="30" customHeight="1" thickBot="1" x14ac:dyDescent="0.25">
      <c r="A90" s="677"/>
      <c r="B90" s="1248"/>
      <c r="C90" s="828"/>
      <c r="D90" s="829"/>
      <c r="E90" s="749"/>
      <c r="F90" s="749"/>
      <c r="G90" s="749"/>
      <c r="H90" s="749"/>
      <c r="I90" s="749"/>
      <c r="J90" s="749"/>
      <c r="K90" s="750"/>
      <c r="L90" s="769"/>
      <c r="M90" s="716"/>
      <c r="N90" s="699"/>
      <c r="O90" s="794"/>
      <c r="P90" s="607"/>
      <c r="Q90" s="641"/>
      <c r="R90" s="642"/>
      <c r="S90" s="642"/>
      <c r="T90" s="642"/>
      <c r="U90" s="642"/>
      <c r="V90" s="642"/>
      <c r="W90" s="642"/>
      <c r="X90" s="642"/>
      <c r="Y90" s="642"/>
      <c r="Z90" s="642"/>
      <c r="AA90" s="642"/>
      <c r="AB90" s="642"/>
      <c r="AC90" s="642"/>
      <c r="AD90" s="607"/>
      <c r="AV90" s="607"/>
      <c r="AW90" s="607"/>
      <c r="AX90" s="607"/>
      <c r="AY90" s="607"/>
      <c r="AZ90" s="607"/>
      <c r="BA90" s="607"/>
      <c r="BB90" s="607"/>
      <c r="BC90" s="607"/>
      <c r="BD90" s="607"/>
      <c r="BE90" s="607"/>
      <c r="BF90" s="607"/>
    </row>
    <row r="91" spans="1:58" ht="30" customHeight="1" thickBot="1" x14ac:dyDescent="0.25">
      <c r="A91" s="677"/>
      <c r="B91" s="1249"/>
      <c r="C91" s="830" t="s">
        <v>293</v>
      </c>
      <c r="D91" s="831" t="s">
        <v>357</v>
      </c>
      <c r="E91" s="832" t="s">
        <v>292</v>
      </c>
      <c r="F91" s="833">
        <v>120</v>
      </c>
      <c r="G91" s="833">
        <v>1E-4</v>
      </c>
      <c r="H91" s="833">
        <v>6.9499999999999998E-4</v>
      </c>
      <c r="I91" s="833">
        <v>1.5999999999999999E-5</v>
      </c>
      <c r="J91" s="833">
        <v>2.2999999999999998</v>
      </c>
      <c r="K91" s="834">
        <v>42846</v>
      </c>
      <c r="L91" s="835" t="s">
        <v>457</v>
      </c>
      <c r="M91" s="716"/>
      <c r="N91" s="699"/>
      <c r="O91" s="794"/>
      <c r="P91" s="607"/>
      <c r="Q91" s="641"/>
      <c r="R91" s="642"/>
      <c r="S91" s="642"/>
      <c r="T91" s="642"/>
      <c r="U91" s="642"/>
      <c r="V91" s="642"/>
      <c r="W91" s="642"/>
      <c r="X91" s="642"/>
      <c r="Y91" s="642"/>
      <c r="Z91" s="642"/>
      <c r="AA91" s="642"/>
      <c r="AB91" s="642"/>
      <c r="AC91" s="642"/>
      <c r="AD91" s="607"/>
      <c r="AV91" s="607"/>
      <c r="AW91" s="607"/>
      <c r="AX91" s="607"/>
      <c r="AY91" s="607"/>
      <c r="AZ91" s="607"/>
      <c r="BA91" s="607"/>
      <c r="BB91" s="607"/>
      <c r="BC91" s="607"/>
      <c r="BD91" s="607"/>
      <c r="BE91" s="607"/>
      <c r="BF91" s="607"/>
    </row>
    <row r="92" spans="1:58" ht="30" customHeight="1" x14ac:dyDescent="0.2">
      <c r="A92" s="677"/>
      <c r="B92" s="836"/>
      <c r="C92" s="745"/>
      <c r="D92" s="837"/>
      <c r="E92" s="745"/>
      <c r="F92" s="745"/>
      <c r="G92" s="745"/>
      <c r="H92" s="745"/>
      <c r="I92" s="745"/>
      <c r="J92" s="745"/>
      <c r="K92" s="838"/>
      <c r="L92" s="839"/>
      <c r="M92" s="716"/>
      <c r="N92" s="699"/>
      <c r="O92" s="794"/>
      <c r="P92" s="607"/>
      <c r="Q92" s="641"/>
      <c r="R92" s="642"/>
      <c r="S92" s="642"/>
      <c r="T92" s="642"/>
      <c r="U92" s="642"/>
      <c r="V92" s="642"/>
      <c r="W92" s="642"/>
      <c r="X92" s="642"/>
      <c r="Y92" s="642"/>
      <c r="Z92" s="642"/>
      <c r="AA92" s="642"/>
      <c r="AB92" s="642"/>
      <c r="AC92" s="642"/>
      <c r="AD92" s="607"/>
      <c r="AV92" s="607"/>
      <c r="AW92" s="607"/>
      <c r="AX92" s="607"/>
      <c r="AY92" s="607"/>
      <c r="AZ92" s="607"/>
      <c r="BA92" s="607"/>
      <c r="BB92" s="607"/>
      <c r="BC92" s="607"/>
      <c r="BD92" s="607"/>
      <c r="BE92" s="607"/>
      <c r="BF92" s="607"/>
    </row>
    <row r="93" spans="1:58" ht="30" customHeight="1" thickBot="1" x14ac:dyDescent="0.25">
      <c r="A93" s="677"/>
      <c r="B93" s="607"/>
      <c r="C93" s="622"/>
      <c r="D93" s="622"/>
      <c r="E93" s="622"/>
      <c r="F93" s="622"/>
      <c r="G93" s="622"/>
      <c r="H93" s="622"/>
      <c r="I93" s="622"/>
      <c r="J93" s="622"/>
      <c r="K93" s="744"/>
      <c r="L93" s="622"/>
      <c r="M93" s="716"/>
      <c r="N93" s="699"/>
      <c r="O93" s="794"/>
      <c r="P93" s="607"/>
      <c r="Q93" s="641"/>
      <c r="R93" s="642"/>
      <c r="S93" s="642"/>
      <c r="T93" s="642"/>
      <c r="U93" s="642"/>
      <c r="V93" s="642"/>
      <c r="W93" s="642"/>
      <c r="X93" s="642"/>
      <c r="Y93" s="642"/>
      <c r="Z93" s="642"/>
      <c r="AA93" s="642"/>
      <c r="AB93" s="642"/>
      <c r="AC93" s="642"/>
      <c r="AD93" s="607"/>
      <c r="AV93" s="607"/>
      <c r="AW93" s="607"/>
      <c r="AX93" s="607"/>
      <c r="AY93" s="607"/>
      <c r="AZ93" s="607"/>
      <c r="BA93" s="607"/>
      <c r="BB93" s="607"/>
      <c r="BC93" s="607"/>
      <c r="BD93" s="607"/>
      <c r="BE93" s="607"/>
      <c r="BF93" s="607"/>
    </row>
    <row r="94" spans="1:58" ht="30" customHeight="1" thickBot="1" x14ac:dyDescent="0.25">
      <c r="A94" s="677"/>
      <c r="B94" s="1235" t="s">
        <v>258</v>
      </c>
      <c r="C94" s="1236"/>
      <c r="D94" s="1236"/>
      <c r="E94" s="1236"/>
      <c r="F94" s="1236"/>
      <c r="G94" s="1236"/>
      <c r="H94" s="1236"/>
      <c r="I94" s="1236"/>
      <c r="J94" s="1236"/>
      <c r="K94" s="1236"/>
      <c r="L94" s="1237"/>
      <c r="M94" s="716"/>
      <c r="N94" s="699"/>
      <c r="O94" s="794"/>
      <c r="P94" s="607"/>
      <c r="Q94" s="641"/>
      <c r="R94" s="642"/>
      <c r="S94" s="642"/>
      <c r="T94" s="642"/>
      <c r="U94" s="642"/>
      <c r="V94" s="642"/>
      <c r="W94" s="642"/>
      <c r="X94" s="642"/>
      <c r="Y94" s="642"/>
      <c r="Z94" s="642"/>
      <c r="AA94" s="642"/>
      <c r="AB94" s="642"/>
      <c r="AC94" s="642"/>
      <c r="AD94" s="607"/>
      <c r="AV94" s="607"/>
      <c r="AW94" s="607"/>
      <c r="AX94" s="607"/>
      <c r="AY94" s="607"/>
      <c r="AZ94" s="607"/>
      <c r="BA94" s="607"/>
      <c r="BB94" s="607"/>
      <c r="BC94" s="607"/>
      <c r="BD94" s="607"/>
      <c r="BE94" s="607"/>
      <c r="BF94" s="607"/>
    </row>
    <row r="95" spans="1:58" ht="60" customHeight="1" thickBot="1" x14ac:dyDescent="0.25">
      <c r="A95" s="677"/>
      <c r="B95" s="607"/>
      <c r="C95" s="745"/>
      <c r="D95" s="840" t="s">
        <v>54</v>
      </c>
      <c r="E95" s="841" t="s">
        <v>341</v>
      </c>
      <c r="F95" s="842" t="s">
        <v>342</v>
      </c>
      <c r="G95" s="842" t="s">
        <v>233</v>
      </c>
      <c r="H95" s="842" t="s">
        <v>294</v>
      </c>
      <c r="I95" s="842" t="s">
        <v>231</v>
      </c>
      <c r="J95" s="842" t="s">
        <v>295</v>
      </c>
      <c r="K95" s="843" t="s">
        <v>232</v>
      </c>
      <c r="L95" s="844" t="s">
        <v>362</v>
      </c>
      <c r="M95" s="716"/>
      <c r="N95" s="699"/>
      <c r="O95" s="794"/>
      <c r="P95" s="607"/>
      <c r="Q95" s="641"/>
      <c r="R95" s="642"/>
      <c r="S95" s="642"/>
      <c r="T95" s="642"/>
      <c r="U95" s="642"/>
      <c r="V95" s="642"/>
      <c r="W95" s="642"/>
      <c r="X95" s="642"/>
      <c r="Y95" s="642"/>
      <c r="Z95" s="642"/>
      <c r="AA95" s="642"/>
      <c r="AB95" s="642"/>
      <c r="AC95" s="642"/>
      <c r="AD95" s="607"/>
      <c r="AV95" s="607"/>
      <c r="AW95" s="607"/>
      <c r="AX95" s="607"/>
      <c r="AY95" s="607"/>
      <c r="AZ95" s="607"/>
      <c r="BA95" s="607"/>
      <c r="BB95" s="607"/>
      <c r="BC95" s="607"/>
      <c r="BD95" s="607"/>
      <c r="BE95" s="607"/>
      <c r="BF95" s="607"/>
    </row>
    <row r="96" spans="1:58" ht="30" customHeight="1" thickBot="1" x14ac:dyDescent="0.25">
      <c r="A96" s="677"/>
      <c r="B96" s="607"/>
      <c r="C96" s="745"/>
      <c r="D96" s="823"/>
      <c r="E96" s="743"/>
      <c r="F96" s="743"/>
      <c r="G96" s="743"/>
      <c r="H96" s="743"/>
      <c r="I96" s="743"/>
      <c r="J96" s="743"/>
      <c r="K96" s="824"/>
      <c r="L96" s="698"/>
      <c r="M96" s="716"/>
      <c r="N96" s="699"/>
      <c r="O96" s="794"/>
      <c r="P96" s="607"/>
      <c r="Q96" s="641"/>
      <c r="R96" s="642"/>
      <c r="S96" s="642"/>
      <c r="T96" s="642"/>
      <c r="U96" s="642"/>
      <c r="V96" s="642"/>
      <c r="W96" s="642"/>
      <c r="X96" s="642"/>
      <c r="Y96" s="642"/>
      <c r="Z96" s="642"/>
      <c r="AA96" s="642"/>
      <c r="AB96" s="642"/>
      <c r="AC96" s="642"/>
      <c r="AD96" s="607"/>
      <c r="AV96" s="607"/>
      <c r="AW96" s="607"/>
      <c r="AX96" s="607"/>
      <c r="AY96" s="607"/>
      <c r="AZ96" s="607"/>
      <c r="BA96" s="607"/>
      <c r="BB96" s="607"/>
      <c r="BC96" s="607"/>
      <c r="BD96" s="607"/>
      <c r="BE96" s="607"/>
      <c r="BF96" s="607"/>
    </row>
    <row r="97" spans="1:58" ht="30" customHeight="1" x14ac:dyDescent="0.2">
      <c r="A97" s="677"/>
      <c r="B97" s="1266" t="s">
        <v>255</v>
      </c>
      <c r="C97" s="752" t="s">
        <v>458</v>
      </c>
      <c r="D97" s="1269" t="s">
        <v>356</v>
      </c>
      <c r="E97" s="648">
        <v>16901291</v>
      </c>
      <c r="F97" s="845">
        <v>4.9800000000000004</v>
      </c>
      <c r="G97" s="845">
        <v>0.01</v>
      </c>
      <c r="H97" s="846">
        <v>-2E-3</v>
      </c>
      <c r="I97" s="846">
        <v>1E-3</v>
      </c>
      <c r="J97" s="847">
        <v>2</v>
      </c>
      <c r="K97" s="786">
        <v>43133</v>
      </c>
      <c r="L97" s="848" t="s">
        <v>460</v>
      </c>
      <c r="M97" s="716"/>
      <c r="N97" s="699"/>
      <c r="O97" s="794"/>
      <c r="P97" s="607"/>
      <c r="Q97" s="641"/>
      <c r="R97" s="642"/>
      <c r="S97" s="642"/>
      <c r="T97" s="642"/>
      <c r="U97" s="642"/>
      <c r="V97" s="642"/>
      <c r="W97" s="642"/>
      <c r="X97" s="642"/>
      <c r="Y97" s="642"/>
      <c r="Z97" s="642"/>
      <c r="AA97" s="642"/>
      <c r="AB97" s="642"/>
      <c r="AC97" s="642"/>
      <c r="AD97" s="607"/>
      <c r="AV97" s="607"/>
      <c r="AW97" s="607"/>
      <c r="AX97" s="607"/>
      <c r="AY97" s="607"/>
      <c r="AZ97" s="607"/>
      <c r="BA97" s="607"/>
      <c r="BB97" s="607"/>
      <c r="BC97" s="607"/>
      <c r="BD97" s="607"/>
      <c r="BE97" s="607"/>
      <c r="BF97" s="607"/>
    </row>
    <row r="98" spans="1:58" ht="30" customHeight="1" x14ac:dyDescent="0.2">
      <c r="A98" s="677"/>
      <c r="B98" s="1267"/>
      <c r="C98" s="815" t="s">
        <v>416</v>
      </c>
      <c r="D98" s="1270"/>
      <c r="E98" s="628">
        <v>16901291</v>
      </c>
      <c r="F98" s="849">
        <v>21.49</v>
      </c>
      <c r="G98" s="849">
        <v>0.01</v>
      </c>
      <c r="H98" s="850">
        <v>-1E-3</v>
      </c>
      <c r="I98" s="850">
        <v>1E-3</v>
      </c>
      <c r="J98" s="851">
        <v>2</v>
      </c>
      <c r="K98" s="627">
        <v>43133</v>
      </c>
      <c r="L98" s="732" t="s">
        <v>460</v>
      </c>
      <c r="M98" s="716"/>
      <c r="N98" s="699"/>
      <c r="O98" s="794"/>
      <c r="P98" s="607"/>
      <c r="Q98" s="641"/>
      <c r="R98" s="642"/>
      <c r="S98" s="642"/>
      <c r="T98" s="642"/>
      <c r="U98" s="642"/>
      <c r="V98" s="642"/>
      <c r="W98" s="642"/>
      <c r="X98" s="642"/>
      <c r="Y98" s="642"/>
      <c r="Z98" s="642"/>
      <c r="AA98" s="642"/>
      <c r="AB98" s="642"/>
      <c r="AC98" s="642"/>
      <c r="AD98" s="607"/>
      <c r="AV98" s="607"/>
      <c r="AW98" s="607"/>
      <c r="AX98" s="607"/>
      <c r="AY98" s="607"/>
      <c r="AZ98" s="607"/>
      <c r="BA98" s="607"/>
      <c r="BB98" s="607"/>
      <c r="BC98" s="607"/>
      <c r="BD98" s="607"/>
      <c r="BE98" s="607"/>
      <c r="BF98" s="607"/>
    </row>
    <row r="99" spans="1:58" ht="30" customHeight="1" x14ac:dyDescent="0.2">
      <c r="A99" s="677"/>
      <c r="B99" s="1267"/>
      <c r="C99" s="815" t="s">
        <v>417</v>
      </c>
      <c r="D99" s="1270"/>
      <c r="E99" s="628">
        <v>16901291</v>
      </c>
      <c r="F99" s="852">
        <v>50</v>
      </c>
      <c r="G99" s="849">
        <v>0.01</v>
      </c>
      <c r="H99" s="852">
        <v>0</v>
      </c>
      <c r="I99" s="850">
        <v>1E-3</v>
      </c>
      <c r="J99" s="851">
        <v>2</v>
      </c>
      <c r="K99" s="627">
        <v>43133</v>
      </c>
      <c r="L99" s="732" t="s">
        <v>460</v>
      </c>
      <c r="M99" s="716"/>
      <c r="N99" s="699"/>
      <c r="O99" s="794"/>
      <c r="P99" s="607"/>
      <c r="Q99" s="641"/>
      <c r="R99" s="642"/>
      <c r="S99" s="642"/>
      <c r="T99" s="642"/>
      <c r="U99" s="642"/>
      <c r="V99" s="642"/>
      <c r="W99" s="642"/>
      <c r="X99" s="642"/>
      <c r="Y99" s="642"/>
      <c r="Z99" s="642"/>
      <c r="AA99" s="642"/>
      <c r="AB99" s="642"/>
      <c r="AC99" s="642"/>
      <c r="AD99" s="607"/>
      <c r="AV99" s="607"/>
      <c r="AW99" s="607"/>
      <c r="AX99" s="607"/>
      <c r="AY99" s="607"/>
      <c r="AZ99" s="607"/>
      <c r="BA99" s="607"/>
      <c r="BB99" s="607"/>
      <c r="BC99" s="607"/>
      <c r="BD99" s="607"/>
      <c r="BE99" s="607"/>
      <c r="BF99" s="607"/>
    </row>
    <row r="100" spans="1:58" ht="35.1" customHeight="1" x14ac:dyDescent="0.2">
      <c r="A100" s="677"/>
      <c r="B100" s="1267"/>
      <c r="C100" s="815" t="s">
        <v>459</v>
      </c>
      <c r="D100" s="1270"/>
      <c r="E100" s="628">
        <v>16901291</v>
      </c>
      <c r="F100" s="849">
        <v>71.510000000000005</v>
      </c>
      <c r="G100" s="849">
        <v>0.01</v>
      </c>
      <c r="H100" s="850">
        <v>1E-3</v>
      </c>
      <c r="I100" s="850">
        <v>1E-3</v>
      </c>
      <c r="J100" s="851">
        <v>2</v>
      </c>
      <c r="K100" s="627">
        <v>43133</v>
      </c>
      <c r="L100" s="732" t="s">
        <v>460</v>
      </c>
      <c r="M100" s="716"/>
      <c r="N100" s="699"/>
      <c r="O100" s="794"/>
      <c r="P100" s="607"/>
      <c r="Q100" s="641"/>
      <c r="R100" s="642"/>
      <c r="S100" s="642"/>
      <c r="T100" s="642"/>
      <c r="U100" s="642"/>
      <c r="V100" s="642"/>
      <c r="W100" s="642"/>
      <c r="X100" s="642"/>
      <c r="Y100" s="642"/>
      <c r="Z100" s="642"/>
      <c r="AA100" s="642"/>
      <c r="AB100" s="642"/>
      <c r="AC100" s="642"/>
      <c r="AD100" s="607"/>
      <c r="AV100" s="607"/>
      <c r="AW100" s="607"/>
      <c r="AX100" s="607"/>
      <c r="AY100" s="607"/>
      <c r="AZ100" s="607"/>
      <c r="BA100" s="607"/>
      <c r="BB100" s="607"/>
      <c r="BC100" s="607"/>
      <c r="BD100" s="607"/>
      <c r="BE100" s="607"/>
      <c r="BF100" s="607"/>
    </row>
    <row r="101" spans="1:58" ht="35.1" customHeight="1" x14ac:dyDescent="0.2">
      <c r="A101" s="677"/>
      <c r="B101" s="1267"/>
      <c r="C101" s="815" t="s">
        <v>418</v>
      </c>
      <c r="D101" s="1270"/>
      <c r="E101" s="628">
        <v>16901291</v>
      </c>
      <c r="F101" s="849">
        <v>100.01</v>
      </c>
      <c r="G101" s="849">
        <v>0.01</v>
      </c>
      <c r="H101" s="853">
        <v>8.0000000000000002E-3</v>
      </c>
      <c r="I101" s="850">
        <v>1E-3</v>
      </c>
      <c r="J101" s="851">
        <v>2</v>
      </c>
      <c r="K101" s="627">
        <v>43133</v>
      </c>
      <c r="L101" s="732" t="s">
        <v>460</v>
      </c>
      <c r="M101" s="716"/>
      <c r="N101" s="699"/>
      <c r="O101" s="794"/>
      <c r="P101" s="607"/>
      <c r="Q101" s="641"/>
      <c r="R101" s="642"/>
      <c r="S101" s="642"/>
      <c r="T101" s="642"/>
      <c r="U101" s="642"/>
      <c r="V101" s="642"/>
      <c r="W101" s="642"/>
      <c r="X101" s="642"/>
      <c r="Y101" s="642"/>
      <c r="Z101" s="642"/>
      <c r="AA101" s="642"/>
      <c r="AB101" s="642"/>
      <c r="AC101" s="642"/>
      <c r="AD101" s="607"/>
      <c r="AV101" s="607"/>
      <c r="AW101" s="607"/>
      <c r="AX101" s="607"/>
      <c r="AY101" s="607"/>
      <c r="AZ101" s="607"/>
      <c r="BA101" s="607"/>
      <c r="BB101" s="607"/>
      <c r="BC101" s="607"/>
      <c r="BD101" s="607"/>
      <c r="BE101" s="607"/>
      <c r="BF101" s="607"/>
    </row>
    <row r="102" spans="1:58" ht="35.1" customHeight="1" x14ac:dyDescent="0.2">
      <c r="A102" s="677"/>
      <c r="B102" s="1267"/>
      <c r="C102" s="815" t="s">
        <v>419</v>
      </c>
      <c r="D102" s="1270"/>
      <c r="E102" s="628">
        <v>16901291</v>
      </c>
      <c r="F102" s="852">
        <v>150</v>
      </c>
      <c r="G102" s="849">
        <v>0.01</v>
      </c>
      <c r="H102" s="852">
        <v>0</v>
      </c>
      <c r="I102" s="850">
        <v>1E-3</v>
      </c>
      <c r="J102" s="851">
        <v>2</v>
      </c>
      <c r="K102" s="627">
        <v>43133</v>
      </c>
      <c r="L102" s="732" t="s">
        <v>460</v>
      </c>
      <c r="M102" s="716"/>
      <c r="N102" s="699"/>
      <c r="O102" s="794"/>
      <c r="P102" s="607"/>
      <c r="Q102" s="641"/>
      <c r="R102" s="642"/>
      <c r="S102" s="642"/>
      <c r="T102" s="642"/>
      <c r="U102" s="642"/>
      <c r="V102" s="642"/>
      <c r="W102" s="642"/>
      <c r="X102" s="642"/>
      <c r="Y102" s="642"/>
      <c r="Z102" s="642"/>
      <c r="AA102" s="642"/>
      <c r="AB102" s="642"/>
      <c r="AC102" s="642"/>
      <c r="AD102" s="607"/>
      <c r="AV102" s="607"/>
      <c r="AW102" s="607"/>
      <c r="AX102" s="607"/>
      <c r="AY102" s="607"/>
      <c r="AZ102" s="607"/>
      <c r="BA102" s="607"/>
      <c r="BB102" s="607"/>
      <c r="BC102" s="607"/>
      <c r="BD102" s="607"/>
      <c r="BE102" s="607"/>
      <c r="BF102" s="607"/>
    </row>
    <row r="103" spans="1:58" ht="35.1" customHeight="1" thickBot="1" x14ac:dyDescent="0.25">
      <c r="A103" s="677"/>
      <c r="B103" s="1268"/>
      <c r="C103" s="818" t="s">
        <v>420</v>
      </c>
      <c r="D103" s="1271"/>
      <c r="E103" s="820">
        <v>16901291</v>
      </c>
      <c r="F103" s="854">
        <v>200</v>
      </c>
      <c r="G103" s="855">
        <v>0.01</v>
      </c>
      <c r="H103" s="854">
        <v>0</v>
      </c>
      <c r="I103" s="856">
        <v>1E-3</v>
      </c>
      <c r="J103" s="857">
        <v>2</v>
      </c>
      <c r="K103" s="792">
        <v>43133</v>
      </c>
      <c r="L103" s="858" t="s">
        <v>460</v>
      </c>
      <c r="M103" s="716"/>
      <c r="N103" s="699"/>
      <c r="O103" s="794"/>
      <c r="Q103" s="641"/>
      <c r="R103" s="642"/>
      <c r="S103" s="642"/>
      <c r="T103" s="642"/>
      <c r="U103" s="642"/>
      <c r="V103" s="642"/>
      <c r="W103" s="642"/>
      <c r="X103" s="642"/>
      <c r="Y103" s="642"/>
      <c r="Z103" s="642"/>
      <c r="AA103" s="642"/>
      <c r="AB103" s="642"/>
      <c r="AC103" s="642"/>
      <c r="AD103" s="607"/>
      <c r="AH103" s="607"/>
      <c r="AI103" s="745"/>
      <c r="AJ103" s="745"/>
      <c r="AK103" s="745"/>
      <c r="AL103" s="745"/>
      <c r="AM103" s="745"/>
      <c r="AN103" s="745"/>
      <c r="AO103" s="745"/>
      <c r="AP103" s="745"/>
      <c r="AQ103" s="838"/>
      <c r="AR103" s="859"/>
      <c r="AS103" s="745"/>
      <c r="AV103" s="607"/>
      <c r="AW103" s="607"/>
      <c r="AX103" s="607"/>
      <c r="AY103" s="607"/>
      <c r="AZ103" s="607"/>
      <c r="BA103" s="607"/>
      <c r="BB103" s="607"/>
      <c r="BC103" s="607"/>
      <c r="BD103" s="607"/>
      <c r="BE103" s="607"/>
      <c r="BF103" s="607"/>
    </row>
    <row r="104" spans="1:58" ht="35.1" customHeight="1" thickBot="1" x14ac:dyDescent="0.25">
      <c r="A104" s="677"/>
      <c r="B104" s="607"/>
      <c r="C104" s="828"/>
      <c r="D104" s="860"/>
      <c r="E104" s="924"/>
      <c r="F104" s="797"/>
      <c r="G104" s="797"/>
      <c r="H104" s="861"/>
      <c r="I104" s="797"/>
      <c r="J104" s="797"/>
      <c r="K104" s="798"/>
      <c r="L104" s="862"/>
      <c r="M104" s="716"/>
      <c r="N104" s="699"/>
      <c r="O104" s="607"/>
      <c r="Q104" s="607"/>
      <c r="R104" s="607"/>
      <c r="S104" s="607"/>
      <c r="T104" s="859"/>
      <c r="U104" s="859"/>
      <c r="V104" s="859"/>
      <c r="W104" s="859"/>
      <c r="X104" s="859"/>
      <c r="Y104" s="859"/>
      <c r="Z104" s="859"/>
      <c r="AA104" s="859"/>
      <c r="AB104" s="859"/>
      <c r="AC104" s="607"/>
      <c r="AD104" s="607"/>
      <c r="AH104" s="607"/>
      <c r="AI104" s="607"/>
      <c r="AJ104" s="607"/>
      <c r="AK104" s="607"/>
      <c r="AL104" s="607"/>
      <c r="AM104" s="607"/>
      <c r="AN104" s="607"/>
      <c r="AO104" s="607"/>
      <c r="AP104" s="607"/>
      <c r="AQ104" s="684"/>
      <c r="AR104" s="607"/>
      <c r="AS104" s="745"/>
      <c r="AV104" s="607"/>
      <c r="AW104" s="607"/>
      <c r="AX104" s="607"/>
      <c r="AY104" s="607"/>
      <c r="AZ104" s="607"/>
      <c r="BA104" s="607"/>
      <c r="BB104" s="607"/>
      <c r="BC104" s="607"/>
      <c r="BD104" s="607"/>
      <c r="BE104" s="607"/>
      <c r="BF104" s="607"/>
    </row>
    <row r="105" spans="1:58" ht="35.1" customHeight="1" x14ac:dyDescent="0.2">
      <c r="A105" s="677"/>
      <c r="B105" s="1272" t="s">
        <v>256</v>
      </c>
      <c r="C105" s="681" t="s">
        <v>458</v>
      </c>
      <c r="D105" s="1254" t="s">
        <v>356</v>
      </c>
      <c r="E105" s="648">
        <v>16901291</v>
      </c>
      <c r="F105" s="863">
        <v>5</v>
      </c>
      <c r="G105" s="845">
        <v>0.01</v>
      </c>
      <c r="H105" s="863">
        <v>0</v>
      </c>
      <c r="I105" s="846">
        <v>1E-3</v>
      </c>
      <c r="J105" s="847">
        <v>2</v>
      </c>
      <c r="K105" s="786">
        <v>43133</v>
      </c>
      <c r="L105" s="864" t="s">
        <v>460</v>
      </c>
      <c r="M105" s="716"/>
      <c r="N105" s="699"/>
      <c r="O105" s="607"/>
      <c r="Q105" s="607"/>
      <c r="R105" s="607"/>
      <c r="S105" s="607"/>
      <c r="T105" s="607"/>
      <c r="U105" s="607"/>
      <c r="V105" s="607"/>
      <c r="W105" s="607"/>
      <c r="X105" s="607"/>
      <c r="Y105" s="607"/>
      <c r="Z105" s="607"/>
      <c r="AA105" s="607"/>
      <c r="AB105" s="607"/>
      <c r="AC105" s="607"/>
      <c r="AD105" s="607"/>
      <c r="AH105" s="607"/>
      <c r="AI105" s="607"/>
      <c r="AJ105" s="607"/>
      <c r="AK105" s="607"/>
      <c r="AL105" s="607"/>
      <c r="AM105" s="607"/>
      <c r="AN105" s="607"/>
      <c r="AO105" s="607"/>
      <c r="AP105" s="607"/>
      <c r="AQ105" s="684"/>
      <c r="AR105" s="607"/>
      <c r="AS105" s="859"/>
      <c r="AV105" s="607"/>
      <c r="AW105" s="607"/>
      <c r="AX105" s="607"/>
      <c r="AY105" s="607"/>
      <c r="AZ105" s="607"/>
      <c r="BA105" s="607"/>
      <c r="BB105" s="607"/>
      <c r="BC105" s="607"/>
      <c r="BD105" s="607"/>
      <c r="BE105" s="607"/>
      <c r="BF105" s="607"/>
    </row>
    <row r="106" spans="1:58" ht="35.1" customHeight="1" x14ac:dyDescent="0.2">
      <c r="A106" s="677"/>
      <c r="B106" s="1273"/>
      <c r="C106" s="625" t="s">
        <v>416</v>
      </c>
      <c r="D106" s="1255"/>
      <c r="E106" s="628">
        <v>16901291</v>
      </c>
      <c r="F106" s="852">
        <v>21.51</v>
      </c>
      <c r="G106" s="849">
        <v>0.01</v>
      </c>
      <c r="H106" s="850">
        <v>1E-3</v>
      </c>
      <c r="I106" s="850">
        <v>1E-3</v>
      </c>
      <c r="J106" s="851">
        <v>2</v>
      </c>
      <c r="K106" s="627">
        <v>43133</v>
      </c>
      <c r="L106" s="865" t="s">
        <v>460</v>
      </c>
      <c r="M106" s="716"/>
      <c r="N106" s="699"/>
      <c r="Q106" s="607"/>
      <c r="R106" s="607"/>
      <c r="S106" s="607"/>
      <c r="T106" s="607"/>
      <c r="U106" s="607"/>
      <c r="V106" s="607"/>
      <c r="W106" s="607"/>
      <c r="X106" s="607"/>
      <c r="Y106" s="607"/>
      <c r="Z106" s="607"/>
      <c r="AA106" s="607"/>
      <c r="AB106" s="607"/>
      <c r="AC106" s="607"/>
      <c r="AD106" s="607"/>
      <c r="BD106" s="607"/>
      <c r="BE106" s="607"/>
      <c r="BF106" s="607"/>
    </row>
    <row r="107" spans="1:58" ht="35.1" customHeight="1" x14ac:dyDescent="0.2">
      <c r="A107" s="677"/>
      <c r="B107" s="1273"/>
      <c r="C107" s="625" t="s">
        <v>417</v>
      </c>
      <c r="D107" s="1255"/>
      <c r="E107" s="628">
        <v>16901291</v>
      </c>
      <c r="F107" s="852">
        <v>50.01</v>
      </c>
      <c r="G107" s="849">
        <v>0.01</v>
      </c>
      <c r="H107" s="850">
        <v>1E-3</v>
      </c>
      <c r="I107" s="850">
        <v>1E-3</v>
      </c>
      <c r="J107" s="851">
        <v>2</v>
      </c>
      <c r="K107" s="627">
        <v>43133</v>
      </c>
      <c r="L107" s="865" t="s">
        <v>460</v>
      </c>
      <c r="M107" s="716"/>
      <c r="N107" s="699"/>
      <c r="T107" s="610"/>
      <c r="U107" s="610"/>
      <c r="V107" s="610"/>
      <c r="W107" s="610"/>
      <c r="X107" s="610"/>
      <c r="Y107" s="610"/>
      <c r="Z107" s="610"/>
      <c r="AA107" s="610"/>
      <c r="AB107" s="610"/>
      <c r="AV107" s="607"/>
      <c r="AW107" s="607"/>
      <c r="AX107" s="607"/>
      <c r="AY107" s="607"/>
      <c r="AZ107" s="607"/>
      <c r="BA107" s="607"/>
      <c r="BB107" s="607"/>
      <c r="BC107" s="607"/>
      <c r="BD107" s="607"/>
      <c r="BE107" s="607"/>
      <c r="BF107" s="607"/>
    </row>
    <row r="108" spans="1:58" ht="35.1" customHeight="1" x14ac:dyDescent="0.2">
      <c r="A108" s="677"/>
      <c r="B108" s="1273"/>
      <c r="C108" s="625" t="s">
        <v>459</v>
      </c>
      <c r="D108" s="1255"/>
      <c r="E108" s="628">
        <v>16901291</v>
      </c>
      <c r="F108" s="852">
        <v>71.510000000000005</v>
      </c>
      <c r="G108" s="849">
        <v>0.01</v>
      </c>
      <c r="H108" s="850">
        <v>1E-3</v>
      </c>
      <c r="I108" s="850">
        <v>1E-3</v>
      </c>
      <c r="J108" s="851">
        <v>2</v>
      </c>
      <c r="K108" s="627">
        <v>43133</v>
      </c>
      <c r="L108" s="865" t="s">
        <v>460</v>
      </c>
      <c r="M108" s="716"/>
      <c r="N108" s="699"/>
      <c r="T108" s="610"/>
      <c r="U108" s="610"/>
      <c r="V108" s="610"/>
      <c r="W108" s="610"/>
      <c r="X108" s="610"/>
      <c r="Y108" s="610"/>
      <c r="Z108" s="610"/>
      <c r="AA108" s="610"/>
      <c r="AB108" s="610"/>
      <c r="AV108" s="607"/>
      <c r="AW108" s="607"/>
      <c r="AX108" s="607"/>
      <c r="AY108" s="607"/>
      <c r="AZ108" s="607"/>
      <c r="BA108" s="607"/>
      <c r="BB108" s="607"/>
      <c r="BC108" s="607"/>
      <c r="BD108" s="607"/>
      <c r="BE108" s="607"/>
      <c r="BF108" s="607"/>
    </row>
    <row r="109" spans="1:58" ht="35.1" customHeight="1" x14ac:dyDescent="0.2">
      <c r="A109" s="677"/>
      <c r="B109" s="1273"/>
      <c r="C109" s="625" t="s">
        <v>418</v>
      </c>
      <c r="D109" s="1255"/>
      <c r="E109" s="628">
        <v>16901291</v>
      </c>
      <c r="F109" s="852">
        <v>100.01</v>
      </c>
      <c r="G109" s="849">
        <v>0.01</v>
      </c>
      <c r="H109" s="850">
        <v>1E-3</v>
      </c>
      <c r="I109" s="850">
        <v>1E-3</v>
      </c>
      <c r="J109" s="851">
        <v>2</v>
      </c>
      <c r="K109" s="627">
        <v>43133</v>
      </c>
      <c r="L109" s="865" t="s">
        <v>460</v>
      </c>
      <c r="M109" s="716"/>
      <c r="N109" s="699"/>
    </row>
    <row r="110" spans="1:58" ht="35.1" customHeight="1" x14ac:dyDescent="0.2">
      <c r="A110" s="677"/>
      <c r="B110" s="1273"/>
      <c r="C110" s="625" t="s">
        <v>419</v>
      </c>
      <c r="D110" s="1255"/>
      <c r="E110" s="628">
        <v>16901291</v>
      </c>
      <c r="F110" s="852">
        <v>150.01</v>
      </c>
      <c r="G110" s="849">
        <v>0.01</v>
      </c>
      <c r="H110" s="850">
        <v>1E-3</v>
      </c>
      <c r="I110" s="850">
        <v>1E-3</v>
      </c>
      <c r="J110" s="851">
        <v>2</v>
      </c>
      <c r="K110" s="627">
        <v>43133</v>
      </c>
      <c r="L110" s="865" t="s">
        <v>460</v>
      </c>
      <c r="M110" s="716"/>
      <c r="N110" s="699"/>
    </row>
    <row r="111" spans="1:58" ht="35.1" customHeight="1" thickBot="1" x14ac:dyDescent="0.25">
      <c r="A111" s="677"/>
      <c r="B111" s="1274"/>
      <c r="C111" s="690" t="s">
        <v>420</v>
      </c>
      <c r="D111" s="1256"/>
      <c r="E111" s="820">
        <v>16901291</v>
      </c>
      <c r="F111" s="854">
        <v>200</v>
      </c>
      <c r="G111" s="855">
        <v>0.01</v>
      </c>
      <c r="H111" s="856">
        <v>0</v>
      </c>
      <c r="I111" s="856">
        <v>1E-3</v>
      </c>
      <c r="J111" s="857">
        <v>2</v>
      </c>
      <c r="K111" s="792">
        <v>43133</v>
      </c>
      <c r="L111" s="866" t="s">
        <v>460</v>
      </c>
      <c r="M111" s="716"/>
      <c r="N111" s="699"/>
    </row>
    <row r="112" spans="1:58" ht="35.1" customHeight="1" x14ac:dyDescent="0.2">
      <c r="A112" s="677"/>
      <c r="B112" s="607"/>
      <c r="C112" s="622"/>
      <c r="D112" s="745"/>
      <c r="E112" s="622"/>
      <c r="F112" s="622"/>
      <c r="G112" s="622"/>
      <c r="H112" s="622"/>
      <c r="I112" s="622"/>
      <c r="J112" s="622"/>
      <c r="K112" s="744"/>
      <c r="L112" s="622"/>
      <c r="M112" s="716"/>
      <c r="N112" s="699"/>
    </row>
    <row r="113" spans="1:14" ht="35.1" customHeight="1" thickBot="1" x14ac:dyDescent="0.25">
      <c r="A113" s="677"/>
      <c r="B113" s="607"/>
      <c r="C113" s="622"/>
      <c r="D113" s="745"/>
      <c r="E113" s="622"/>
      <c r="F113" s="622"/>
      <c r="G113" s="622"/>
      <c r="H113" s="622"/>
      <c r="I113" s="622"/>
      <c r="J113" s="622"/>
      <c r="K113" s="744"/>
      <c r="L113" s="622"/>
      <c r="M113" s="716"/>
      <c r="N113" s="699"/>
    </row>
    <row r="114" spans="1:14" ht="35.1" customHeight="1" thickBot="1" x14ac:dyDescent="0.25">
      <c r="A114" s="677"/>
      <c r="B114" s="1235" t="s">
        <v>258</v>
      </c>
      <c r="C114" s="1236"/>
      <c r="D114" s="1236"/>
      <c r="E114" s="1236"/>
      <c r="F114" s="1236"/>
      <c r="G114" s="1236"/>
      <c r="H114" s="1236"/>
      <c r="I114" s="1236"/>
      <c r="J114" s="1236"/>
      <c r="K114" s="1236"/>
      <c r="L114" s="1237"/>
      <c r="M114" s="716"/>
      <c r="N114" s="699"/>
    </row>
    <row r="115" spans="1:14" ht="60" customHeight="1" thickBot="1" x14ac:dyDescent="0.25">
      <c r="A115" s="677"/>
      <c r="B115" s="1247" t="s">
        <v>254</v>
      </c>
      <c r="C115" s="607"/>
      <c r="D115" s="776" t="s">
        <v>54</v>
      </c>
      <c r="E115" s="777" t="s">
        <v>341</v>
      </c>
      <c r="F115" s="776" t="s">
        <v>340</v>
      </c>
      <c r="G115" s="776" t="s">
        <v>233</v>
      </c>
      <c r="H115" s="776" t="s">
        <v>294</v>
      </c>
      <c r="I115" s="776" t="s">
        <v>231</v>
      </c>
      <c r="J115" s="776" t="s">
        <v>295</v>
      </c>
      <c r="K115" s="778" t="s">
        <v>232</v>
      </c>
      <c r="L115" s="867" t="s">
        <v>362</v>
      </c>
      <c r="M115" s="716"/>
      <c r="N115" s="699"/>
    </row>
    <row r="116" spans="1:14" ht="35.1" customHeight="1" x14ac:dyDescent="0.25">
      <c r="A116" s="677"/>
      <c r="B116" s="1264"/>
      <c r="C116" s="868"/>
      <c r="D116" s="581"/>
      <c r="E116" s="582"/>
      <c r="F116" s="582"/>
      <c r="G116" s="582"/>
      <c r="H116" s="582"/>
      <c r="I116" s="582"/>
      <c r="J116" s="582"/>
      <c r="K116" s="583"/>
      <c r="L116" s="584"/>
      <c r="M116" s="716"/>
      <c r="N116" s="699"/>
    </row>
    <row r="117" spans="1:14" ht="35.1" customHeight="1" thickBot="1" x14ac:dyDescent="0.25">
      <c r="A117" s="677"/>
      <c r="B117" s="1265"/>
      <c r="C117" s="818" t="s">
        <v>358</v>
      </c>
      <c r="D117" s="869" t="s">
        <v>356</v>
      </c>
      <c r="E117" s="870">
        <v>63091842</v>
      </c>
      <c r="F117" s="871">
        <v>25</v>
      </c>
      <c r="G117" s="871">
        <v>1.2999999999999999E-3</v>
      </c>
      <c r="H117" s="871">
        <v>0</v>
      </c>
      <c r="I117" s="871">
        <v>8.9999999999999993E-3</v>
      </c>
      <c r="J117" s="872">
        <v>2</v>
      </c>
      <c r="K117" s="873">
        <v>43132</v>
      </c>
      <c r="L117" s="874" t="s">
        <v>461</v>
      </c>
      <c r="M117" s="875"/>
      <c r="N117" s="699"/>
    </row>
    <row r="118" spans="1:14" ht="35.1" customHeight="1" thickBot="1" x14ac:dyDescent="0.25">
      <c r="A118" s="876"/>
      <c r="B118" s="877"/>
      <c r="C118" s="878"/>
      <c r="D118" s="879"/>
      <c r="E118" s="880"/>
      <c r="F118" s="880"/>
      <c r="G118" s="880"/>
      <c r="H118" s="880"/>
      <c r="I118" s="880"/>
      <c r="J118" s="880"/>
      <c r="K118" s="881"/>
      <c r="L118" s="882"/>
      <c r="M118" s="883"/>
      <c r="N118" s="884"/>
    </row>
    <row r="188" spans="74:77" ht="35.1" customHeight="1" x14ac:dyDescent="0.25">
      <c r="BV188" s="617"/>
      <c r="BW188" s="617"/>
      <c r="BX188" s="617"/>
      <c r="BY188" s="617"/>
    </row>
    <row r="189" spans="74:77" ht="35.1" customHeight="1" x14ac:dyDescent="0.25">
      <c r="BV189" s="617"/>
      <c r="BW189" s="617"/>
      <c r="BX189" s="617"/>
      <c r="BY189" s="617"/>
    </row>
    <row r="190" spans="74:77" ht="35.1" customHeight="1" x14ac:dyDescent="0.25">
      <c r="BV190" s="617"/>
      <c r="BW190" s="617"/>
      <c r="BX190" s="617"/>
      <c r="BY190" s="617"/>
    </row>
    <row r="191" spans="74:77" ht="35.1" customHeight="1" x14ac:dyDescent="0.25">
      <c r="BV191" s="617"/>
      <c r="BW191" s="617"/>
      <c r="BX191" s="617"/>
      <c r="BY191" s="617"/>
    </row>
  </sheetData>
  <dataConsolidate/>
  <mergeCells count="46">
    <mergeCell ref="B115:B117"/>
    <mergeCell ref="B94:L94"/>
    <mergeCell ref="B97:B103"/>
    <mergeCell ref="D97:D103"/>
    <mergeCell ref="B105:B111"/>
    <mergeCell ref="D105:D111"/>
    <mergeCell ref="B114:L114"/>
    <mergeCell ref="B89:B91"/>
    <mergeCell ref="B46:L46"/>
    <mergeCell ref="B48:B67"/>
    <mergeCell ref="D49:D51"/>
    <mergeCell ref="D53:D55"/>
    <mergeCell ref="D57:D59"/>
    <mergeCell ref="D61:D63"/>
    <mergeCell ref="D65:D67"/>
    <mergeCell ref="B69:L69"/>
    <mergeCell ref="B71:B76"/>
    <mergeCell ref="B78:L78"/>
    <mergeCell ref="B80:B86"/>
    <mergeCell ref="B88:L88"/>
    <mergeCell ref="B35:L35"/>
    <mergeCell ref="B37:B40"/>
    <mergeCell ref="D38:D40"/>
    <mergeCell ref="L38:L40"/>
    <mergeCell ref="B41:B44"/>
    <mergeCell ref="D42:D44"/>
    <mergeCell ref="L42:L44"/>
    <mergeCell ref="B29:B32"/>
    <mergeCell ref="B11:N12"/>
    <mergeCell ref="T11:V11"/>
    <mergeCell ref="T12:V12"/>
    <mergeCell ref="Q14:S14"/>
    <mergeCell ref="T14:V14"/>
    <mergeCell ref="Q15:S15"/>
    <mergeCell ref="U15:X15"/>
    <mergeCell ref="Q16:S16"/>
    <mergeCell ref="U16:X16"/>
    <mergeCell ref="B21:M21"/>
    <mergeCell ref="Q23:S23"/>
    <mergeCell ref="B28:L28"/>
    <mergeCell ref="E1:M1"/>
    <mergeCell ref="D5:L5"/>
    <mergeCell ref="Q6:V6"/>
    <mergeCell ref="R7:V7"/>
    <mergeCell ref="R8:S8"/>
    <mergeCell ref="T8:V8"/>
  </mergeCells>
  <pageMargins left="0.70866141732283472" right="0.70866141732283472" top="0.74803149606299213" bottom="0.74803149606299213" header="0.31496062992125984" footer="0.31496062992125984"/>
  <pageSetup scale="10" pageOrder="overThenDown"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P227"/>
  <sheetViews>
    <sheetView showGridLines="0" view="pageBreakPreview" topLeftCell="K34" zoomScaleNormal="50" zoomScaleSheetLayoutView="100" workbookViewId="0">
      <selection activeCell="Q41" sqref="Q41"/>
    </sheetView>
  </sheetViews>
  <sheetFormatPr baseColWidth="10" defaultColWidth="15.7109375" defaultRowHeight="35.1" customHeight="1" x14ac:dyDescent="0.2"/>
  <cols>
    <col min="1" max="4" width="15.7109375" style="610"/>
    <col min="5" max="5" width="19.140625" style="610" customWidth="1"/>
    <col min="6" max="9" width="15.7109375" style="610"/>
    <col min="10" max="11" width="16.5703125" style="610" customWidth="1"/>
    <col min="12" max="12" width="20.42578125" style="610" customWidth="1"/>
    <col min="13" max="13" width="16.5703125" style="610" customWidth="1"/>
    <col min="14" max="14" width="20.28515625" style="610" customWidth="1"/>
    <col min="15" max="15" width="15.7109375" style="610"/>
    <col min="16" max="19" width="16.5703125" style="610" customWidth="1"/>
    <col min="20" max="22" width="15.7109375" style="614"/>
    <col min="23" max="23" width="16.5703125" style="614" customWidth="1"/>
    <col min="24" max="24" width="11.7109375" style="614" customWidth="1"/>
    <col min="25" max="25" width="18.28515625" style="614" customWidth="1"/>
    <col min="26" max="28" width="16" style="614" customWidth="1"/>
    <col min="29" max="33" width="16" style="610" customWidth="1"/>
    <col min="34" max="40" width="20.7109375" style="610" customWidth="1"/>
    <col min="41" max="42" width="15.7109375" style="610"/>
    <col min="43" max="43" width="15.7109375" style="613"/>
    <col min="44" max="45" width="15.7109375" style="610"/>
    <col min="46" max="56" width="16" style="610" customWidth="1"/>
    <col min="57" max="58" width="16" style="610" bestFit="1" customWidth="1"/>
    <col min="59" max="16384" width="15.7109375" style="610"/>
  </cols>
  <sheetData>
    <row r="1" spans="1:94" ht="80.099999999999994" customHeight="1" thickBot="1" x14ac:dyDescent="0.25">
      <c r="A1" s="607"/>
      <c r="B1" s="607"/>
      <c r="C1" s="608"/>
      <c r="D1" s="609"/>
      <c r="E1" s="1196" t="s">
        <v>424</v>
      </c>
      <c r="F1" s="1197"/>
      <c r="G1" s="1197"/>
      <c r="H1" s="1197"/>
      <c r="I1" s="1197"/>
      <c r="J1" s="1197"/>
      <c r="K1" s="1197"/>
      <c r="L1" s="1197"/>
      <c r="M1" s="1198"/>
      <c r="N1" s="607"/>
      <c r="P1" s="607"/>
      <c r="Q1" s="607"/>
      <c r="R1" s="611"/>
      <c r="S1" s="611"/>
      <c r="T1" s="611"/>
      <c r="U1" s="611"/>
      <c r="V1" s="611"/>
      <c r="W1" s="611"/>
      <c r="X1" s="611"/>
      <c r="Y1" s="611"/>
      <c r="Z1" s="611"/>
      <c r="AA1" s="611"/>
      <c r="AB1" s="611"/>
      <c r="AC1" s="611"/>
      <c r="AD1" s="611"/>
      <c r="AG1" s="607"/>
      <c r="AH1" s="607"/>
      <c r="AI1" s="611"/>
      <c r="AJ1" s="611"/>
      <c r="AK1" s="611"/>
      <c r="AL1" s="611"/>
      <c r="AM1" s="611"/>
      <c r="AN1" s="611"/>
      <c r="AO1" s="611"/>
      <c r="AP1" s="611"/>
      <c r="AQ1" s="612"/>
      <c r="AR1" s="611"/>
      <c r="AS1" s="611"/>
      <c r="AT1" s="611"/>
      <c r="AU1" s="611"/>
      <c r="AW1" s="607"/>
      <c r="AX1" s="607"/>
      <c r="AY1" s="611"/>
      <c r="AZ1" s="611"/>
      <c r="BA1" s="611"/>
      <c r="BB1" s="611"/>
      <c r="BC1" s="611"/>
      <c r="BD1" s="611"/>
      <c r="BE1" s="611"/>
      <c r="BF1" s="611"/>
      <c r="BG1" s="611"/>
      <c r="BH1" s="611"/>
      <c r="BI1" s="611"/>
      <c r="BJ1" s="611"/>
      <c r="BK1" s="611"/>
      <c r="BL1" s="611"/>
      <c r="BM1" s="611"/>
    </row>
    <row r="2" spans="1:94" ht="35.1" customHeight="1" thickBot="1" x14ac:dyDescent="0.25">
      <c r="C2" s="607"/>
      <c r="T2" s="610"/>
      <c r="U2" s="610"/>
      <c r="V2" s="610"/>
      <c r="W2" s="610"/>
      <c r="X2" s="610"/>
      <c r="Y2" s="610"/>
      <c r="Z2" s="610"/>
      <c r="AA2" s="610"/>
      <c r="AB2" s="610"/>
    </row>
    <row r="3" spans="1:94" ht="35.1" customHeight="1" thickBot="1" x14ac:dyDescent="0.25">
      <c r="O3" s="1202" t="s">
        <v>304</v>
      </c>
      <c r="P3" s="1203"/>
      <c r="Q3" s="1203"/>
      <c r="R3" s="1203"/>
      <c r="S3" s="1203"/>
      <c r="T3" s="1204"/>
      <c r="U3" s="610"/>
      <c r="V3" s="610"/>
      <c r="W3" s="610"/>
      <c r="X3" s="610"/>
      <c r="Y3" s="610"/>
      <c r="Z3" s="610"/>
      <c r="AA3" s="610"/>
      <c r="AB3" s="610"/>
      <c r="AH3" s="614"/>
      <c r="AI3" s="614"/>
      <c r="AJ3" s="614"/>
      <c r="AK3" s="614"/>
      <c r="AL3" s="614"/>
      <c r="AM3" s="614"/>
      <c r="AN3" s="614"/>
      <c r="AO3" s="614"/>
      <c r="AP3" s="614"/>
    </row>
    <row r="4" spans="1:94" ht="30" customHeight="1" thickBot="1" x14ac:dyDescent="0.25">
      <c r="O4" s="621" t="s">
        <v>296</v>
      </c>
      <c r="P4" s="1205" t="s">
        <v>308</v>
      </c>
      <c r="Q4" s="1206"/>
      <c r="R4" s="1206"/>
      <c r="S4" s="1206"/>
      <c r="T4" s="1207"/>
      <c r="U4" s="610"/>
      <c r="V4" s="610"/>
      <c r="W4" s="610"/>
      <c r="X4" s="610"/>
      <c r="Y4" s="610"/>
      <c r="Z4" s="610"/>
      <c r="AA4" s="610"/>
      <c r="AB4" s="610"/>
      <c r="AV4" s="607"/>
      <c r="BE4" s="607"/>
    </row>
    <row r="5" spans="1:94" ht="69.95" customHeight="1" thickBot="1" x14ac:dyDescent="0.25">
      <c r="D5" s="1199" t="s">
        <v>388</v>
      </c>
      <c r="E5" s="1200"/>
      <c r="F5" s="1200"/>
      <c r="G5" s="1200"/>
      <c r="H5" s="1200"/>
      <c r="I5" s="1200"/>
      <c r="J5" s="1200"/>
      <c r="K5" s="1200"/>
      <c r="L5" s="1200"/>
      <c r="M5" s="1200"/>
      <c r="N5" s="1201"/>
      <c r="O5" s="630"/>
      <c r="P5" s="1208"/>
      <c r="Q5" s="1209"/>
      <c r="R5" s="1210"/>
      <c r="S5" s="1211"/>
      <c r="T5" s="1212"/>
      <c r="U5" s="610"/>
      <c r="V5" s="610"/>
      <c r="W5" s="610"/>
      <c r="X5" s="610"/>
      <c r="Y5" s="610"/>
      <c r="Z5" s="610"/>
      <c r="AA5" s="610"/>
      <c r="AB5" s="610"/>
      <c r="AD5" s="615"/>
      <c r="AV5" s="607"/>
      <c r="BE5" s="616"/>
    </row>
    <row r="6" spans="1:94" ht="69.95" customHeight="1" thickBot="1" x14ac:dyDescent="0.3">
      <c r="D6" s="1003" t="s">
        <v>296</v>
      </c>
      <c r="E6" s="1004" t="s">
        <v>67</v>
      </c>
      <c r="F6" s="1005" t="s">
        <v>389</v>
      </c>
      <c r="G6" s="1005" t="s">
        <v>250</v>
      </c>
      <c r="H6" s="1005" t="s">
        <v>552</v>
      </c>
      <c r="I6" s="1005" t="s">
        <v>31</v>
      </c>
      <c r="J6" s="1005" t="s">
        <v>251</v>
      </c>
      <c r="K6" s="1006" t="s">
        <v>66</v>
      </c>
      <c r="L6" s="1006" t="s">
        <v>41</v>
      </c>
      <c r="M6" s="1002" t="s">
        <v>551</v>
      </c>
      <c r="N6" s="1002" t="s">
        <v>391</v>
      </c>
      <c r="O6" s="635" t="s">
        <v>384</v>
      </c>
      <c r="P6" s="636" t="s">
        <v>307</v>
      </c>
      <c r="Q6" s="637"/>
      <c r="R6" s="638" t="s">
        <v>382</v>
      </c>
      <c r="S6" s="639"/>
      <c r="T6" s="640"/>
      <c r="AV6" s="607"/>
      <c r="BE6" s="607"/>
      <c r="BY6" s="617"/>
    </row>
    <row r="7" spans="1:94" ht="30" customHeight="1" x14ac:dyDescent="0.2">
      <c r="D7" s="618"/>
      <c r="E7" s="619"/>
      <c r="F7" s="619"/>
      <c r="G7" s="619"/>
      <c r="H7" s="1007"/>
      <c r="I7" s="619"/>
      <c r="J7" s="619"/>
      <c r="K7" s="619"/>
      <c r="L7" s="619"/>
      <c r="M7" s="1015"/>
      <c r="N7" s="1016"/>
      <c r="O7" s="1013" t="s">
        <v>385</v>
      </c>
      <c r="P7" s="636" t="s">
        <v>218</v>
      </c>
      <c r="Q7" s="637"/>
      <c r="R7" s="637" t="s">
        <v>383</v>
      </c>
      <c r="S7" s="637"/>
      <c r="T7" s="644"/>
      <c r="AV7" s="623"/>
      <c r="BE7" s="607"/>
    </row>
    <row r="8" spans="1:94" s="624" customFormat="1" ht="30" customHeight="1" x14ac:dyDescent="0.2">
      <c r="B8" s="610"/>
      <c r="C8" s="610"/>
      <c r="D8" s="625">
        <v>1</v>
      </c>
      <c r="E8" s="626"/>
      <c r="F8" s="627"/>
      <c r="G8" s="1028" t="s">
        <v>491</v>
      </c>
      <c r="H8" s="1009" t="s">
        <v>553</v>
      </c>
      <c r="I8" s="627"/>
      <c r="J8" s="626"/>
      <c r="K8" s="1028"/>
      <c r="L8" s="626"/>
      <c r="M8" s="626"/>
      <c r="N8" s="1018"/>
      <c r="O8" s="1013" t="s">
        <v>386</v>
      </c>
      <c r="P8" s="636" t="s">
        <v>306</v>
      </c>
      <c r="Q8" s="637"/>
      <c r="R8" s="1221" t="s">
        <v>421</v>
      </c>
      <c r="S8" s="1221"/>
      <c r="T8" s="1222"/>
      <c r="AI8" s="610"/>
      <c r="AJ8" s="610"/>
      <c r="AV8" s="623"/>
      <c r="BE8" s="623"/>
      <c r="BZ8" s="610"/>
      <c r="CA8" s="610"/>
      <c r="CB8" s="610"/>
      <c r="CC8" s="610"/>
      <c r="CD8" s="610"/>
      <c r="CE8" s="610"/>
      <c r="CF8" s="610"/>
      <c r="CG8" s="610"/>
      <c r="CH8" s="610"/>
      <c r="CI8" s="610"/>
      <c r="CJ8" s="610"/>
      <c r="CK8" s="610"/>
      <c r="CL8" s="610"/>
      <c r="CM8" s="610"/>
      <c r="CN8" s="610"/>
      <c r="CO8" s="610"/>
      <c r="CP8" s="610"/>
    </row>
    <row r="9" spans="1:94" s="624" customFormat="1" ht="30" customHeight="1" thickBot="1" x14ac:dyDescent="0.25">
      <c r="B9" s="610"/>
      <c r="C9" s="610"/>
      <c r="D9" s="631"/>
      <c r="E9" s="632"/>
      <c r="F9" s="633"/>
      <c r="G9" s="632"/>
      <c r="H9" s="1008"/>
      <c r="I9" s="633"/>
      <c r="J9" s="632"/>
      <c r="K9" s="632"/>
      <c r="L9" s="632"/>
      <c r="M9" s="632"/>
      <c r="N9" s="1017"/>
      <c r="O9" s="1014" t="s">
        <v>387</v>
      </c>
      <c r="P9" s="646" t="s">
        <v>305</v>
      </c>
      <c r="Q9" s="647"/>
      <c r="R9" s="1223" t="s">
        <v>422</v>
      </c>
      <c r="S9" s="1223"/>
      <c r="T9" s="1224"/>
      <c r="AI9" s="610"/>
      <c r="AJ9" s="610"/>
      <c r="AV9" s="623"/>
      <c r="BE9" s="623"/>
      <c r="BZ9" s="610"/>
      <c r="CA9" s="610"/>
      <c r="CB9" s="610"/>
      <c r="CC9" s="610"/>
      <c r="CD9" s="610"/>
      <c r="CE9" s="610"/>
      <c r="CF9" s="610"/>
      <c r="CG9" s="610"/>
      <c r="CH9" s="610"/>
      <c r="CI9" s="610"/>
      <c r="CJ9" s="610"/>
      <c r="CK9" s="610"/>
      <c r="CL9" s="610"/>
      <c r="CM9" s="610"/>
      <c r="CN9" s="610"/>
      <c r="CO9" s="610"/>
      <c r="CP9" s="610"/>
    </row>
    <row r="10" spans="1:94" s="624" customFormat="1" ht="30" customHeight="1" thickBot="1" x14ac:dyDescent="0.25">
      <c r="B10" s="610"/>
      <c r="C10" s="610"/>
      <c r="D10" s="641"/>
      <c r="E10" s="642"/>
      <c r="F10" s="643"/>
      <c r="G10" s="642"/>
      <c r="H10" s="643"/>
      <c r="I10" s="641"/>
      <c r="J10" s="641"/>
      <c r="K10" s="641"/>
      <c r="L10" s="641"/>
      <c r="M10" s="610"/>
      <c r="N10" s="610"/>
      <c r="O10" s="610"/>
      <c r="P10" s="610"/>
      <c r="W10" s="610"/>
      <c r="X10" s="610"/>
      <c r="AI10" s="610"/>
      <c r="AJ10" s="610"/>
      <c r="AV10" s="623"/>
      <c r="BE10" s="623"/>
      <c r="BZ10" s="610"/>
      <c r="CA10" s="610"/>
      <c r="CB10" s="610"/>
      <c r="CC10" s="610"/>
      <c r="CD10" s="610"/>
      <c r="CE10" s="610"/>
      <c r="CF10" s="610"/>
      <c r="CG10" s="610"/>
      <c r="CH10" s="610"/>
      <c r="CI10" s="610"/>
      <c r="CJ10" s="610"/>
      <c r="CK10" s="610"/>
      <c r="CL10" s="610"/>
      <c r="CM10" s="610"/>
      <c r="CN10" s="610"/>
      <c r="CO10" s="610"/>
      <c r="CP10" s="610"/>
    </row>
    <row r="11" spans="1:94" s="624" customFormat="1" ht="30" customHeight="1" x14ac:dyDescent="0.2">
      <c r="B11" s="1215" t="s">
        <v>390</v>
      </c>
      <c r="C11" s="1216"/>
      <c r="D11" s="1216"/>
      <c r="E11" s="1216"/>
      <c r="F11" s="1216"/>
      <c r="G11" s="1216"/>
      <c r="H11" s="1216"/>
      <c r="I11" s="1216"/>
      <c r="J11" s="1216"/>
      <c r="K11" s="1216"/>
      <c r="L11" s="1216"/>
      <c r="M11" s="1216"/>
      <c r="N11" s="1217"/>
      <c r="O11" s="610"/>
      <c r="P11" s="610"/>
      <c r="W11" s="610"/>
      <c r="X11" s="610"/>
      <c r="AI11" s="610"/>
      <c r="AJ11" s="610"/>
      <c r="AV11" s="623"/>
      <c r="BE11" s="623"/>
      <c r="BZ11" s="610"/>
      <c r="CA11" s="610"/>
      <c r="CB11" s="610"/>
      <c r="CC11" s="610"/>
      <c r="CD11" s="610"/>
      <c r="CE11" s="610"/>
      <c r="CF11" s="610"/>
      <c r="CG11" s="610"/>
      <c r="CH11" s="610"/>
      <c r="CI11" s="610"/>
      <c r="CJ11" s="610"/>
      <c r="CK11" s="610"/>
      <c r="CL11" s="610"/>
      <c r="CM11" s="610"/>
      <c r="CN11" s="610"/>
      <c r="CO11" s="610"/>
      <c r="CP11" s="610"/>
    </row>
    <row r="12" spans="1:94" s="624" customFormat="1" ht="30" customHeight="1" thickBot="1" x14ac:dyDescent="0.25">
      <c r="B12" s="1218"/>
      <c r="C12" s="1219"/>
      <c r="D12" s="1219"/>
      <c r="E12" s="1219"/>
      <c r="F12" s="1219"/>
      <c r="G12" s="1219"/>
      <c r="H12" s="1219"/>
      <c r="I12" s="1219"/>
      <c r="J12" s="1219"/>
      <c r="K12" s="1219"/>
      <c r="L12" s="1219"/>
      <c r="M12" s="1219"/>
      <c r="N12" s="1220"/>
      <c r="O12" s="610"/>
      <c r="P12" s="610"/>
      <c r="W12" s="610"/>
      <c r="X12" s="610"/>
      <c r="Y12" s="623"/>
      <c r="AI12" s="610"/>
      <c r="AJ12" s="610"/>
      <c r="AV12" s="607"/>
      <c r="BE12" s="623"/>
      <c r="BZ12" s="610"/>
      <c r="CA12" s="610"/>
      <c r="CB12" s="610"/>
      <c r="CC12" s="610"/>
      <c r="CD12" s="610"/>
      <c r="CE12" s="610"/>
      <c r="CF12" s="610"/>
      <c r="CG12" s="610"/>
      <c r="CH12" s="610"/>
      <c r="CI12" s="610"/>
      <c r="CJ12" s="610"/>
      <c r="CK12" s="610"/>
      <c r="CL12" s="610"/>
      <c r="CM12" s="610"/>
      <c r="CN12" s="610"/>
      <c r="CO12" s="610"/>
      <c r="CP12" s="610"/>
    </row>
    <row r="13" spans="1:94" ht="80.099999999999994" customHeight="1" thickBot="1" x14ac:dyDescent="0.25">
      <c r="B13" s="530" t="s">
        <v>296</v>
      </c>
      <c r="C13" s="108" t="s">
        <v>54</v>
      </c>
      <c r="D13" s="108" t="s">
        <v>55</v>
      </c>
      <c r="E13" s="108" t="s">
        <v>261</v>
      </c>
      <c r="F13" s="108" t="s">
        <v>300</v>
      </c>
      <c r="G13" s="108" t="s">
        <v>463</v>
      </c>
      <c r="H13" s="538" t="s">
        <v>299</v>
      </c>
      <c r="I13" s="108" t="s">
        <v>301</v>
      </c>
      <c r="J13" s="108" t="s">
        <v>298</v>
      </c>
      <c r="K13" s="108" t="s">
        <v>297</v>
      </c>
      <c r="L13" s="108" t="s">
        <v>302</v>
      </c>
      <c r="M13" s="108" t="s">
        <v>303</v>
      </c>
      <c r="N13" s="108" t="s">
        <v>391</v>
      </c>
      <c r="W13" s="610"/>
      <c r="X13" s="610"/>
      <c r="Y13" s="624"/>
      <c r="AV13" s="607"/>
      <c r="BE13" s="607"/>
    </row>
    <row r="14" spans="1:94" ht="30" customHeight="1" thickBot="1" x14ac:dyDescent="0.25">
      <c r="B14" s="618"/>
      <c r="C14" s="648"/>
      <c r="D14" s="648"/>
      <c r="E14" s="648"/>
      <c r="F14" s="648"/>
      <c r="G14" s="648"/>
      <c r="H14" s="649"/>
      <c r="I14" s="648"/>
      <c r="J14" s="648"/>
      <c r="K14" s="648"/>
      <c r="L14" s="648"/>
      <c r="M14" s="648"/>
      <c r="N14" s="650"/>
      <c r="Q14" s="1225"/>
      <c r="R14" s="1225"/>
      <c r="S14" s="1225"/>
      <c r="T14" s="1225"/>
      <c r="U14" s="1225"/>
      <c r="V14" s="1225"/>
      <c r="W14" s="610"/>
      <c r="X14" s="610"/>
      <c r="Y14" s="610"/>
      <c r="AV14" s="607"/>
      <c r="BE14" s="607"/>
    </row>
    <row r="15" spans="1:94" ht="30" customHeight="1" thickBot="1" x14ac:dyDescent="0.25">
      <c r="B15" s="625">
        <v>1</v>
      </c>
      <c r="C15" s="234"/>
      <c r="D15" s="1062"/>
      <c r="E15" s="1063"/>
      <c r="F15" s="1064">
        <v>20</v>
      </c>
      <c r="G15" s="1064">
        <v>5</v>
      </c>
      <c r="H15" s="1065">
        <v>8.1935400000000005</v>
      </c>
      <c r="I15" s="1065">
        <f>H15</f>
        <v>8.1935400000000005</v>
      </c>
      <c r="J15" s="1066"/>
      <c r="K15" s="1067"/>
      <c r="L15" s="1068">
        <v>5.0000000000000001E-3</v>
      </c>
      <c r="M15" s="1069">
        <v>9.9000000000000001E-6</v>
      </c>
      <c r="N15" s="1070"/>
      <c r="Q15" s="1202" t="s">
        <v>318</v>
      </c>
      <c r="R15" s="1203"/>
      <c r="S15" s="1204"/>
      <c r="T15" s="622"/>
      <c r="Y15" s="610"/>
      <c r="AV15" s="607"/>
      <c r="BE15" s="607"/>
    </row>
    <row r="16" spans="1:94" ht="30" customHeight="1" thickBot="1" x14ac:dyDescent="0.25">
      <c r="B16" s="631"/>
      <c r="C16" s="632"/>
      <c r="D16" s="632"/>
      <c r="E16" s="632"/>
      <c r="F16" s="632"/>
      <c r="G16" s="632"/>
      <c r="H16" s="632"/>
      <c r="I16" s="632"/>
      <c r="J16" s="632"/>
      <c r="K16" s="632"/>
      <c r="L16" s="632"/>
      <c r="M16" s="632"/>
      <c r="N16" s="634"/>
      <c r="Q16" s="1226" t="s">
        <v>469</v>
      </c>
      <c r="R16" s="1227"/>
      <c r="S16" s="1228"/>
      <c r="T16" s="622"/>
      <c r="Y16" s="610"/>
      <c r="AV16" s="607"/>
      <c r="BE16" s="607"/>
    </row>
    <row r="17" spans="1:58" ht="30" customHeight="1" x14ac:dyDescent="0.2">
      <c r="B17" s="607"/>
      <c r="C17" s="607"/>
      <c r="D17" s="641"/>
      <c r="E17" s="642"/>
      <c r="F17" s="656"/>
      <c r="G17" s="642"/>
      <c r="H17" s="656"/>
      <c r="I17" s="642"/>
      <c r="J17" s="642"/>
      <c r="K17" s="642"/>
      <c r="L17" s="642"/>
      <c r="Q17" s="630" t="s">
        <v>296</v>
      </c>
      <c r="R17" s="657" t="s">
        <v>470</v>
      </c>
      <c r="S17" s="658" t="s">
        <v>321</v>
      </c>
      <c r="T17" s="622"/>
      <c r="Y17" s="622"/>
      <c r="Z17" s="622"/>
      <c r="AA17" s="622"/>
      <c r="AV17" s="607"/>
      <c r="BE17" s="607"/>
    </row>
    <row r="18" spans="1:58" ht="30" customHeight="1" x14ac:dyDescent="0.2">
      <c r="B18" s="607"/>
      <c r="C18" s="607"/>
      <c r="D18" s="641"/>
      <c r="E18" s="642"/>
      <c r="F18" s="656"/>
      <c r="G18" s="642"/>
      <c r="H18" s="656"/>
      <c r="I18" s="642"/>
      <c r="J18" s="642"/>
      <c r="K18" s="642"/>
      <c r="L18" s="642"/>
      <c r="Q18" s="661"/>
      <c r="R18" s="662"/>
      <c r="S18" s="663"/>
      <c r="T18" s="622"/>
      <c r="Y18" s="622"/>
      <c r="Z18" s="622"/>
      <c r="AA18" s="622"/>
      <c r="AV18" s="607"/>
      <c r="BE18" s="607"/>
    </row>
    <row r="19" spans="1:58" ht="30" customHeight="1" thickBot="1" x14ac:dyDescent="0.25">
      <c r="B19" s="607"/>
      <c r="C19" s="607"/>
      <c r="D19" s="641"/>
      <c r="E19" s="642"/>
      <c r="F19" s="656"/>
      <c r="G19" s="642"/>
      <c r="H19" s="656"/>
      <c r="I19" s="642"/>
      <c r="J19" s="642"/>
      <c r="K19" s="642"/>
      <c r="L19" s="642"/>
      <c r="Q19" s="635" t="s">
        <v>472</v>
      </c>
      <c r="R19" s="1019">
        <v>0.25</v>
      </c>
      <c r="S19" s="1020">
        <v>80</v>
      </c>
      <c r="T19" s="622"/>
      <c r="AV19" s="607"/>
      <c r="AW19" s="607"/>
      <c r="AX19" s="607"/>
      <c r="AY19" s="607"/>
      <c r="AZ19" s="607"/>
      <c r="BA19" s="607"/>
      <c r="BB19" s="607"/>
      <c r="BC19" s="607"/>
      <c r="BD19" s="607"/>
      <c r="BE19" s="607"/>
    </row>
    <row r="20" spans="1:58" ht="30" customHeight="1" thickBot="1" x14ac:dyDescent="0.25">
      <c r="A20" s="668"/>
      <c r="B20" s="669"/>
      <c r="C20" s="670"/>
      <c r="D20" s="74"/>
      <c r="E20" s="74"/>
      <c r="F20" s="671"/>
      <c r="G20" s="672"/>
      <c r="H20" s="672"/>
      <c r="I20" s="672"/>
      <c r="J20" s="672"/>
      <c r="K20" s="673"/>
      <c r="L20" s="672"/>
      <c r="M20" s="672"/>
      <c r="N20" s="674"/>
      <c r="Q20" s="635" t="s">
        <v>473</v>
      </c>
      <c r="R20" s="1019">
        <v>0.5</v>
      </c>
      <c r="S20" s="1020">
        <v>40</v>
      </c>
      <c r="T20" s="622"/>
      <c r="AV20" s="607"/>
      <c r="AW20" s="607"/>
      <c r="AX20" s="607"/>
      <c r="AY20" s="607"/>
      <c r="AZ20" s="607"/>
      <c r="BA20" s="607"/>
      <c r="BB20" s="607"/>
      <c r="BC20" s="607"/>
      <c r="BD20" s="607"/>
      <c r="BE20" s="607"/>
    </row>
    <row r="21" spans="1:58" ht="30" customHeight="1" thickBot="1" x14ac:dyDescent="0.25">
      <c r="A21" s="677"/>
      <c r="B21" s="1232" t="s">
        <v>392</v>
      </c>
      <c r="C21" s="1233"/>
      <c r="D21" s="1233"/>
      <c r="E21" s="1233"/>
      <c r="F21" s="1233"/>
      <c r="G21" s="1233"/>
      <c r="H21" s="1233"/>
      <c r="I21" s="1233"/>
      <c r="J21" s="1233"/>
      <c r="K21" s="1233"/>
      <c r="L21" s="1233"/>
      <c r="M21" s="1234"/>
      <c r="N21" s="678"/>
      <c r="Q21" s="679" t="s">
        <v>475</v>
      </c>
      <c r="R21" s="680">
        <v>1</v>
      </c>
      <c r="S21" s="1022">
        <v>20</v>
      </c>
      <c r="T21" s="622"/>
      <c r="AV21" s="607"/>
      <c r="BE21" s="607"/>
    </row>
    <row r="22" spans="1:58" ht="30" customHeight="1" thickBot="1" x14ac:dyDescent="0.25">
      <c r="A22" s="677"/>
      <c r="B22" s="607"/>
      <c r="C22" s="607"/>
      <c r="D22" s="607"/>
      <c r="E22" s="607"/>
      <c r="F22" s="607"/>
      <c r="G22" s="607"/>
      <c r="H22" s="607"/>
      <c r="I22" s="607"/>
      <c r="J22" s="607"/>
      <c r="K22" s="684"/>
      <c r="L22" s="607"/>
      <c r="M22" s="607"/>
      <c r="N22" s="678"/>
      <c r="T22" s="622"/>
      <c r="AV22" s="607"/>
      <c r="BE22" s="607"/>
    </row>
    <row r="23" spans="1:58" ht="69.95" customHeight="1" thickBot="1" x14ac:dyDescent="0.25">
      <c r="A23" s="677"/>
      <c r="B23" s="686" t="s">
        <v>1</v>
      </c>
      <c r="C23" s="687" t="s">
        <v>54</v>
      </c>
      <c r="D23" s="687" t="s">
        <v>55</v>
      </c>
      <c r="E23" s="687" t="s">
        <v>261</v>
      </c>
      <c r="F23" s="687" t="s">
        <v>111</v>
      </c>
      <c r="G23" s="687" t="s">
        <v>262</v>
      </c>
      <c r="H23" s="687" t="s">
        <v>113</v>
      </c>
      <c r="I23" s="687" t="s">
        <v>263</v>
      </c>
      <c r="J23" s="687" t="s">
        <v>116</v>
      </c>
      <c r="K23" s="688" t="s">
        <v>117</v>
      </c>
      <c r="L23" s="687" t="s">
        <v>118</v>
      </c>
      <c r="M23" s="689" t="s">
        <v>238</v>
      </c>
      <c r="N23" s="678"/>
      <c r="Q23" s="1226" t="s">
        <v>322</v>
      </c>
      <c r="R23" s="1227"/>
      <c r="S23" s="1228"/>
      <c r="T23" s="622"/>
      <c r="AV23" s="607"/>
      <c r="BE23" s="607"/>
    </row>
    <row r="24" spans="1:58" ht="30" customHeight="1" thickBot="1" x14ac:dyDescent="0.25">
      <c r="A24" s="677"/>
      <c r="B24" s="694"/>
      <c r="C24" s="695"/>
      <c r="D24" s="696"/>
      <c r="E24" s="696"/>
      <c r="F24" s="696"/>
      <c r="G24" s="696"/>
      <c r="H24" s="696"/>
      <c r="I24" s="696"/>
      <c r="J24" s="696"/>
      <c r="K24" s="697"/>
      <c r="L24" s="696"/>
      <c r="M24" s="698"/>
      <c r="N24" s="699"/>
      <c r="Q24" s="630" t="s">
        <v>296</v>
      </c>
      <c r="R24" s="700" t="s">
        <v>323</v>
      </c>
      <c r="S24" s="701" t="s">
        <v>252</v>
      </c>
      <c r="T24" s="622"/>
      <c r="U24" s="622"/>
      <c r="V24" s="622"/>
      <c r="W24" s="610"/>
      <c r="AD24" s="607"/>
      <c r="AV24" s="607"/>
      <c r="BE24" s="607"/>
      <c r="BF24" s="607"/>
    </row>
    <row r="25" spans="1:58" ht="30" customHeight="1" x14ac:dyDescent="0.2">
      <c r="A25" s="677"/>
      <c r="B25" s="702" t="s">
        <v>275</v>
      </c>
      <c r="C25" s="657" t="s">
        <v>106</v>
      </c>
      <c r="D25" s="657" t="s">
        <v>107</v>
      </c>
      <c r="E25" s="657" t="s">
        <v>426</v>
      </c>
      <c r="F25" s="703">
        <v>15.56</v>
      </c>
      <c r="G25" s="657">
        <v>4.9998500000000003</v>
      </c>
      <c r="H25" s="704">
        <v>4.0967700000000002</v>
      </c>
      <c r="I25" s="704">
        <v>4.0967700000000002</v>
      </c>
      <c r="J25" s="657">
        <v>4.7700000000000001E-5</v>
      </c>
      <c r="K25" s="703">
        <f>(5.49+5.5+5.51)/3</f>
        <v>5.5</v>
      </c>
      <c r="L25" s="706">
        <v>5.0000000000000001E-3</v>
      </c>
      <c r="M25" s="707">
        <v>9.9000000000000001E-6</v>
      </c>
      <c r="N25" s="678"/>
      <c r="Q25" s="635"/>
      <c r="R25" s="1019"/>
      <c r="S25" s="1020"/>
      <c r="T25" s="622"/>
      <c r="U25" s="622"/>
      <c r="V25" s="622"/>
      <c r="W25" s="610"/>
      <c r="X25" s="610"/>
      <c r="Y25" s="642"/>
      <c r="Z25" s="642"/>
      <c r="AA25" s="642"/>
      <c r="AB25" s="642"/>
      <c r="AC25" s="642"/>
      <c r="AD25" s="607"/>
      <c r="AV25" s="607"/>
      <c r="BE25" s="607"/>
      <c r="BF25" s="607"/>
    </row>
    <row r="26" spans="1:58" ht="30" customHeight="1" thickBot="1" x14ac:dyDescent="0.25">
      <c r="A26" s="677"/>
      <c r="B26" s="708" t="s">
        <v>276</v>
      </c>
      <c r="C26" s="709" t="s">
        <v>106</v>
      </c>
      <c r="D26" s="710" t="s">
        <v>24</v>
      </c>
      <c r="E26" s="709" t="s">
        <v>425</v>
      </c>
      <c r="F26" s="711">
        <v>20</v>
      </c>
      <c r="G26" s="709">
        <v>5</v>
      </c>
      <c r="H26" s="1021">
        <v>8.1935400000000005</v>
      </c>
      <c r="I26" s="709">
        <f>H26</f>
        <v>8.1935400000000005</v>
      </c>
      <c r="J26" s="709">
        <v>4.7700000000000001E-5</v>
      </c>
      <c r="K26" s="1187">
        <f>(7.29+7.26+7.25)/3</f>
        <v>7.2666666666666666</v>
      </c>
      <c r="L26" s="713">
        <v>5.0000000000000001E-3</v>
      </c>
      <c r="M26" s="993">
        <f>M25</f>
        <v>9.9000000000000001E-6</v>
      </c>
      <c r="N26" s="699"/>
      <c r="Q26" s="635">
        <v>1</v>
      </c>
      <c r="R26" s="1019">
        <v>100</v>
      </c>
      <c r="S26" s="715" t="s">
        <v>253</v>
      </c>
      <c r="T26" s="622"/>
      <c r="U26" s="622"/>
      <c r="X26" s="610"/>
      <c r="Y26" s="642"/>
      <c r="Z26" s="642"/>
      <c r="AA26" s="642"/>
      <c r="AB26" s="642"/>
      <c r="AC26" s="642"/>
      <c r="AD26" s="607"/>
      <c r="AV26" s="607"/>
      <c r="BE26" s="607"/>
      <c r="BF26" s="607"/>
    </row>
    <row r="27" spans="1:58" ht="30" customHeight="1" thickBot="1" x14ac:dyDescent="0.25">
      <c r="A27" s="677"/>
      <c r="B27" s="607"/>
      <c r="C27" s="716"/>
      <c r="D27" s="716"/>
      <c r="E27" s="716"/>
      <c r="F27" s="716"/>
      <c r="G27" s="716"/>
      <c r="H27" s="716"/>
      <c r="I27" s="716"/>
      <c r="J27" s="716"/>
      <c r="K27" s="717"/>
      <c r="L27" s="716"/>
      <c r="M27" s="716"/>
      <c r="N27" s="699"/>
      <c r="Q27" s="635">
        <v>2</v>
      </c>
      <c r="R27" s="1019">
        <v>500</v>
      </c>
      <c r="S27" s="715">
        <v>499.68</v>
      </c>
      <c r="T27" s="716"/>
      <c r="X27" s="610"/>
      <c r="Y27" s="642"/>
      <c r="Z27" s="642"/>
      <c r="AA27" s="642"/>
      <c r="AB27" s="642"/>
      <c r="AC27" s="642"/>
      <c r="AD27" s="607"/>
      <c r="AV27" s="607"/>
      <c r="BE27" s="607"/>
      <c r="BF27" s="607"/>
    </row>
    <row r="28" spans="1:58" ht="30" customHeight="1" thickBot="1" x14ac:dyDescent="0.25">
      <c r="A28" s="677"/>
      <c r="B28" s="1235" t="s">
        <v>338</v>
      </c>
      <c r="C28" s="1236"/>
      <c r="D28" s="1236"/>
      <c r="E28" s="1236"/>
      <c r="F28" s="1236"/>
      <c r="G28" s="1236"/>
      <c r="H28" s="1236"/>
      <c r="I28" s="1236"/>
      <c r="J28" s="1236"/>
      <c r="K28" s="1236"/>
      <c r="L28" s="1237"/>
      <c r="M28" s="716"/>
      <c r="N28" s="699"/>
      <c r="Q28" s="635">
        <v>3</v>
      </c>
      <c r="R28" s="1019">
        <v>500</v>
      </c>
      <c r="S28" s="715">
        <v>500.25</v>
      </c>
      <c r="T28" s="716"/>
      <c r="X28" s="610"/>
      <c r="Y28" s="642"/>
      <c r="Z28" s="642"/>
      <c r="AA28" s="642"/>
      <c r="AB28" s="642"/>
      <c r="AC28" s="642"/>
      <c r="AD28" s="607"/>
      <c r="AV28" s="607"/>
    </row>
    <row r="29" spans="1:58" ht="60" customHeight="1" thickBot="1" x14ac:dyDescent="0.25">
      <c r="A29" s="677"/>
      <c r="B29" s="1213" t="s">
        <v>244</v>
      </c>
      <c r="C29" s="718"/>
      <c r="D29" s="719" t="s">
        <v>54</v>
      </c>
      <c r="E29" s="719" t="s">
        <v>341</v>
      </c>
      <c r="F29" s="720" t="s">
        <v>340</v>
      </c>
      <c r="G29" s="720" t="s">
        <v>233</v>
      </c>
      <c r="H29" s="720" t="s">
        <v>294</v>
      </c>
      <c r="I29" s="720" t="s">
        <v>231</v>
      </c>
      <c r="J29" s="720" t="s">
        <v>295</v>
      </c>
      <c r="K29" s="721" t="s">
        <v>232</v>
      </c>
      <c r="L29" s="722" t="s">
        <v>362</v>
      </c>
      <c r="M29" s="716"/>
      <c r="N29" s="699"/>
      <c r="Q29" s="635">
        <v>4</v>
      </c>
      <c r="R29" s="723">
        <v>500</v>
      </c>
      <c r="S29" s="715">
        <v>500.46</v>
      </c>
      <c r="T29" s="716"/>
      <c r="X29" s="610"/>
      <c r="Y29" s="642"/>
      <c r="Z29" s="642"/>
      <c r="AA29" s="642"/>
      <c r="AB29" s="642"/>
      <c r="AC29" s="642"/>
      <c r="AD29" s="607"/>
      <c r="AV29" s="607"/>
    </row>
    <row r="30" spans="1:58" ht="30" customHeight="1" x14ac:dyDescent="0.2">
      <c r="A30" s="677"/>
      <c r="B30" s="1214"/>
      <c r="C30" s="724"/>
      <c r="D30" s="725"/>
      <c r="E30" s="726"/>
      <c r="F30" s="726"/>
      <c r="G30" s="726"/>
      <c r="H30" s="726"/>
      <c r="I30" s="726"/>
      <c r="J30" s="726"/>
      <c r="K30" s="727"/>
      <c r="L30" s="728"/>
      <c r="M30" s="716"/>
      <c r="N30" s="699"/>
      <c r="Q30" s="635">
        <v>5</v>
      </c>
      <c r="R30" s="723">
        <v>500</v>
      </c>
      <c r="S30" s="715">
        <v>500.34800000000001</v>
      </c>
      <c r="T30" s="716"/>
      <c r="X30" s="610"/>
      <c r="Y30" s="642"/>
      <c r="Z30" s="642"/>
      <c r="AA30" s="642"/>
      <c r="AV30" s="607"/>
    </row>
    <row r="31" spans="1:58" ht="30" customHeight="1" thickBot="1" x14ac:dyDescent="0.25">
      <c r="A31" s="677"/>
      <c r="B31" s="1214"/>
      <c r="C31" s="729" t="s">
        <v>275</v>
      </c>
      <c r="D31" s="730" t="s">
        <v>106</v>
      </c>
      <c r="E31" s="730" t="s">
        <v>426</v>
      </c>
      <c r="F31" s="723">
        <v>18926.47</v>
      </c>
      <c r="G31" s="723">
        <v>4.0967700000000002</v>
      </c>
      <c r="H31" s="723">
        <f>F31-18927.06</f>
        <v>-0.59000000000014552</v>
      </c>
      <c r="I31" s="723">
        <v>2.7</v>
      </c>
      <c r="J31" s="723">
        <v>2.02</v>
      </c>
      <c r="K31" s="731">
        <v>42716</v>
      </c>
      <c r="L31" s="732" t="s">
        <v>360</v>
      </c>
      <c r="M31" s="716"/>
      <c r="N31" s="699"/>
      <c r="Q31" s="645">
        <v>6</v>
      </c>
      <c r="R31" s="733">
        <v>1000</v>
      </c>
      <c r="S31" s="734">
        <v>1000.625</v>
      </c>
      <c r="T31" s="622"/>
      <c r="AA31" s="642"/>
      <c r="AV31" s="607"/>
      <c r="BF31" s="735"/>
    </row>
    <row r="32" spans="1:58" ht="30" customHeight="1" thickBot="1" x14ac:dyDescent="0.25">
      <c r="A32" s="677"/>
      <c r="B32" s="1214"/>
      <c r="C32" s="736" t="s">
        <v>276</v>
      </c>
      <c r="D32" s="737" t="s">
        <v>106</v>
      </c>
      <c r="E32" s="738" t="s">
        <v>277</v>
      </c>
      <c r="F32" s="739">
        <v>18934.57</v>
      </c>
      <c r="G32" s="739">
        <v>8.1935300000000009</v>
      </c>
      <c r="H32" s="739">
        <v>-7.51</v>
      </c>
      <c r="I32" s="739">
        <v>3.4</v>
      </c>
      <c r="J32" s="739">
        <v>2.04</v>
      </c>
      <c r="K32" s="740">
        <v>42471</v>
      </c>
      <c r="L32" s="741" t="s">
        <v>361</v>
      </c>
      <c r="M32" s="716"/>
      <c r="N32" s="699"/>
      <c r="T32" s="622"/>
      <c r="U32" s="622"/>
      <c r="AA32" s="642"/>
      <c r="AV32" s="607"/>
    </row>
    <row r="33" spans="1:58" ht="30" customHeight="1" thickBot="1" x14ac:dyDescent="0.25">
      <c r="A33" s="677"/>
      <c r="B33" s="742"/>
      <c r="C33" s="743"/>
      <c r="D33" s="669"/>
      <c r="E33" s="743"/>
      <c r="F33" s="743"/>
      <c r="G33" s="743"/>
      <c r="H33" s="743"/>
      <c r="I33" s="743"/>
      <c r="J33" s="743"/>
      <c r="K33" s="697"/>
      <c r="L33" s="696"/>
      <c r="M33" s="716"/>
      <c r="N33" s="699"/>
      <c r="U33" s="622"/>
      <c r="AA33" s="642"/>
      <c r="AV33" s="607"/>
      <c r="BF33" s="624"/>
    </row>
    <row r="34" spans="1:58" ht="30" customHeight="1" thickBot="1" x14ac:dyDescent="0.25">
      <c r="A34" s="677"/>
      <c r="B34" s="607"/>
      <c r="C34" s="622"/>
      <c r="D34" s="622"/>
      <c r="E34" s="622"/>
      <c r="F34" s="622"/>
      <c r="G34" s="622"/>
      <c r="H34" s="622"/>
      <c r="I34" s="622"/>
      <c r="J34" s="622"/>
      <c r="K34" s="744"/>
      <c r="L34" s="622"/>
      <c r="M34" s="716"/>
      <c r="N34" s="699"/>
      <c r="P34" s="1202" t="s">
        <v>423</v>
      </c>
      <c r="Q34" s="1203"/>
      <c r="R34" s="1203"/>
      <c r="S34" s="1204"/>
      <c r="U34" s="622"/>
      <c r="AA34" s="642"/>
      <c r="AV34" s="607"/>
      <c r="BF34" s="624"/>
    </row>
    <row r="35" spans="1:58" ht="30" customHeight="1" thickBot="1" x14ac:dyDescent="0.25">
      <c r="A35" s="677"/>
      <c r="B35" s="1235" t="s">
        <v>257</v>
      </c>
      <c r="C35" s="1236"/>
      <c r="D35" s="1236"/>
      <c r="E35" s="1236"/>
      <c r="F35" s="1236"/>
      <c r="G35" s="1236"/>
      <c r="H35" s="1236"/>
      <c r="I35" s="1236"/>
      <c r="J35" s="1236"/>
      <c r="K35" s="1236"/>
      <c r="L35" s="1237"/>
      <c r="M35" s="716"/>
      <c r="N35" s="699"/>
      <c r="P35" s="1229" t="s">
        <v>365</v>
      </c>
      <c r="Q35" s="1230"/>
      <c r="R35" s="1230"/>
      <c r="S35" s="1231"/>
      <c r="U35" s="622"/>
      <c r="AA35" s="642"/>
      <c r="AV35" s="607"/>
      <c r="BF35" s="624"/>
    </row>
    <row r="36" spans="1:58" ht="60" customHeight="1" thickBot="1" x14ac:dyDescent="0.25">
      <c r="A36" s="677"/>
      <c r="B36" s="607"/>
      <c r="C36" s="745"/>
      <c r="D36" s="719" t="s">
        <v>54</v>
      </c>
      <c r="E36" s="719" t="s">
        <v>341</v>
      </c>
      <c r="F36" s="720" t="s">
        <v>340</v>
      </c>
      <c r="G36" s="720" t="s">
        <v>233</v>
      </c>
      <c r="H36" s="720" t="s">
        <v>294</v>
      </c>
      <c r="I36" s="720" t="s">
        <v>231</v>
      </c>
      <c r="J36" s="720" t="s">
        <v>295</v>
      </c>
      <c r="K36" s="746" t="s">
        <v>232</v>
      </c>
      <c r="L36" s="722" t="s">
        <v>362</v>
      </c>
      <c r="M36" s="716"/>
      <c r="N36" s="699"/>
      <c r="P36" s="659">
        <v>18501</v>
      </c>
      <c r="Q36" s="1023" t="s">
        <v>366</v>
      </c>
      <c r="R36" s="1023">
        <v>19336.599999999999</v>
      </c>
      <c r="S36" s="660" t="s">
        <v>4</v>
      </c>
      <c r="U36" s="622"/>
      <c r="AA36" s="642"/>
      <c r="AV36" s="607"/>
      <c r="BF36" s="624"/>
    </row>
    <row r="37" spans="1:58" ht="30" customHeight="1" thickBot="1" x14ac:dyDescent="0.25">
      <c r="A37" s="677"/>
      <c r="B37" s="1238" t="s">
        <v>393</v>
      </c>
      <c r="C37" s="747"/>
      <c r="D37" s="748"/>
      <c r="E37" s="749"/>
      <c r="F37" s="749"/>
      <c r="G37" s="749"/>
      <c r="H37" s="749"/>
      <c r="I37" s="749"/>
      <c r="J37" s="749"/>
      <c r="K37" s="750"/>
      <c r="L37" s="751"/>
      <c r="M37" s="716"/>
      <c r="N37" s="699"/>
      <c r="P37" s="664">
        <v>1128.29</v>
      </c>
      <c r="Q37" s="1024" t="s">
        <v>366</v>
      </c>
      <c r="R37" s="1024">
        <v>1179.99</v>
      </c>
      <c r="S37" s="665" t="s">
        <v>471</v>
      </c>
      <c r="U37" s="622"/>
      <c r="AA37" s="642"/>
      <c r="AV37" s="607"/>
      <c r="BF37" s="624"/>
    </row>
    <row r="38" spans="1:58" ht="30" customHeight="1" thickBot="1" x14ac:dyDescent="0.25">
      <c r="A38" s="677"/>
      <c r="B38" s="1239"/>
      <c r="C38" s="752" t="s">
        <v>395</v>
      </c>
      <c r="D38" s="1241" t="s">
        <v>359</v>
      </c>
      <c r="E38" s="753" t="s">
        <v>278</v>
      </c>
      <c r="F38" s="754">
        <v>2.8000000000000001E-2</v>
      </c>
      <c r="G38" s="755">
        <v>1E-3</v>
      </c>
      <c r="H38" s="755">
        <v>-2.8000000000000001E-2</v>
      </c>
      <c r="I38" s="755">
        <v>1.2999999999999999E-2</v>
      </c>
      <c r="J38" s="756">
        <v>2</v>
      </c>
      <c r="K38" s="757">
        <v>42843</v>
      </c>
      <c r="L38" s="1244" t="s">
        <v>428</v>
      </c>
      <c r="M38" s="716"/>
      <c r="N38" s="699"/>
      <c r="P38" s="666">
        <v>4.8917000000000002</v>
      </c>
      <c r="Q38" s="1025" t="s">
        <v>366</v>
      </c>
      <c r="R38" s="1025">
        <v>5.1082000000000001</v>
      </c>
      <c r="S38" s="667" t="s">
        <v>9</v>
      </c>
      <c r="U38" s="622"/>
      <c r="AA38" s="642"/>
      <c r="AV38" s="607"/>
    </row>
    <row r="39" spans="1:58" ht="30" customHeight="1" thickBot="1" x14ac:dyDescent="0.25">
      <c r="A39" s="677"/>
      <c r="B39" s="1239"/>
      <c r="C39" s="752" t="s">
        <v>396</v>
      </c>
      <c r="D39" s="1242"/>
      <c r="E39" s="753" t="s">
        <v>278</v>
      </c>
      <c r="F39" s="758">
        <v>25.062000000000001</v>
      </c>
      <c r="G39" s="723">
        <v>1E-3</v>
      </c>
      <c r="H39" s="723">
        <v>-6.8000000000000005E-2</v>
      </c>
      <c r="I39" s="723">
        <v>4.3999999999999997E-2</v>
      </c>
      <c r="J39" s="759">
        <v>2</v>
      </c>
      <c r="K39" s="731">
        <v>42843</v>
      </c>
      <c r="L39" s="1245"/>
      <c r="M39" s="716"/>
      <c r="N39" s="699"/>
      <c r="P39" s="675" t="s">
        <v>296</v>
      </c>
      <c r="Q39" s="675" t="s">
        <v>4</v>
      </c>
      <c r="R39" s="676" t="s">
        <v>474</v>
      </c>
      <c r="S39" s="675" t="s">
        <v>9</v>
      </c>
      <c r="U39" s="622"/>
      <c r="AA39" s="642"/>
      <c r="AB39" s="642"/>
      <c r="AC39" s="642"/>
      <c r="AD39" s="607"/>
      <c r="AV39" s="607"/>
    </row>
    <row r="40" spans="1:58" ht="30" customHeight="1" thickBot="1" x14ac:dyDescent="0.25">
      <c r="A40" s="677"/>
      <c r="B40" s="1240"/>
      <c r="C40" s="760" t="s">
        <v>397</v>
      </c>
      <c r="D40" s="1243"/>
      <c r="E40" s="761" t="s">
        <v>278</v>
      </c>
      <c r="F40" s="762">
        <v>50.091999999999999</v>
      </c>
      <c r="G40" s="733">
        <v>1E-3</v>
      </c>
      <c r="H40" s="733">
        <v>-0.10199999999999999</v>
      </c>
      <c r="I40" s="733">
        <v>4.3999999999999997E-2</v>
      </c>
      <c r="J40" s="763">
        <v>2</v>
      </c>
      <c r="K40" s="764">
        <v>42843</v>
      </c>
      <c r="L40" s="1246"/>
      <c r="M40" s="716"/>
      <c r="N40" s="699"/>
      <c r="P40" s="681"/>
      <c r="Q40" s="682"/>
      <c r="R40" s="682"/>
      <c r="S40" s="683"/>
      <c r="U40" s="622"/>
      <c r="Y40" s="642"/>
      <c r="Z40" s="642"/>
      <c r="AA40" s="642"/>
      <c r="AB40" s="642"/>
      <c r="AC40" s="642"/>
      <c r="AD40" s="607"/>
      <c r="AV40" s="607"/>
    </row>
    <row r="41" spans="1:58" ht="30" customHeight="1" thickBot="1" x14ac:dyDescent="0.25">
      <c r="A41" s="677"/>
      <c r="B41" s="1238" t="s">
        <v>394</v>
      </c>
      <c r="C41" s="765"/>
      <c r="D41" s="766"/>
      <c r="E41" s="767"/>
      <c r="F41" s="768"/>
      <c r="G41" s="749"/>
      <c r="H41" s="749"/>
      <c r="I41" s="749"/>
      <c r="J41" s="749"/>
      <c r="K41" s="750"/>
      <c r="L41" s="769"/>
      <c r="M41" s="716"/>
      <c r="N41" s="699"/>
      <c r="P41" s="625">
        <v>1</v>
      </c>
      <c r="Q41" s="685">
        <v>6.3</v>
      </c>
      <c r="R41" s="626">
        <v>0.38</v>
      </c>
      <c r="S41" s="629">
        <v>1.6999999999999999E-3</v>
      </c>
      <c r="U41" s="610"/>
      <c r="V41" s="610"/>
      <c r="W41" s="610"/>
      <c r="X41" s="610"/>
      <c r="Y41" s="642"/>
      <c r="Z41" s="642"/>
      <c r="AA41" s="642"/>
      <c r="AB41" s="642"/>
      <c r="AC41" s="642"/>
      <c r="AD41" s="607"/>
      <c r="AV41" s="607"/>
    </row>
    <row r="42" spans="1:58" ht="30" customHeight="1" thickBot="1" x14ac:dyDescent="0.25">
      <c r="A42" s="677"/>
      <c r="B42" s="1239"/>
      <c r="C42" s="752" t="s">
        <v>398</v>
      </c>
      <c r="D42" s="1241" t="s">
        <v>359</v>
      </c>
      <c r="E42" s="770" t="s">
        <v>279</v>
      </c>
      <c r="F42" s="754">
        <v>-6.0000000000000001E-3</v>
      </c>
      <c r="G42" s="755">
        <v>1E-3</v>
      </c>
      <c r="H42" s="755">
        <v>6.0000000000000001E-3</v>
      </c>
      <c r="I42" s="755">
        <v>1.2999999999999999E-2</v>
      </c>
      <c r="J42" s="755">
        <v>2</v>
      </c>
      <c r="K42" s="771">
        <v>42843</v>
      </c>
      <c r="L42" s="1244" t="s">
        <v>429</v>
      </c>
      <c r="M42" s="716"/>
      <c r="N42" s="699"/>
      <c r="P42" s="690"/>
      <c r="Q42" s="691"/>
      <c r="R42" s="692"/>
      <c r="S42" s="693"/>
      <c r="T42" s="610"/>
      <c r="U42" s="610"/>
      <c r="V42" s="610"/>
      <c r="W42" s="610"/>
      <c r="X42" s="610"/>
      <c r="Y42" s="642"/>
      <c r="Z42" s="642"/>
      <c r="AA42" s="642"/>
      <c r="AB42" s="642"/>
      <c r="AC42" s="642"/>
      <c r="AD42" s="607"/>
      <c r="AV42" s="607"/>
    </row>
    <row r="43" spans="1:58" ht="30" customHeight="1" thickBot="1" x14ac:dyDescent="0.25">
      <c r="A43" s="677"/>
      <c r="B43" s="1239"/>
      <c r="C43" s="752" t="s">
        <v>399</v>
      </c>
      <c r="D43" s="1242"/>
      <c r="E43" s="772" t="s">
        <v>280</v>
      </c>
      <c r="F43" s="758">
        <v>25.021999999999998</v>
      </c>
      <c r="G43" s="723">
        <v>1E-3</v>
      </c>
      <c r="H43" s="723">
        <v>-2.8000000000000001E-2</v>
      </c>
      <c r="I43" s="723">
        <v>4.3999999999999997E-2</v>
      </c>
      <c r="J43" s="723">
        <v>2</v>
      </c>
      <c r="K43" s="773">
        <v>42843</v>
      </c>
      <c r="L43" s="1245"/>
      <c r="M43" s="716"/>
      <c r="N43" s="699"/>
      <c r="Q43" s="641"/>
      <c r="R43" s="642"/>
      <c r="S43" s="642"/>
      <c r="T43" s="642"/>
      <c r="U43" s="642"/>
      <c r="V43" s="642"/>
      <c r="W43" s="610"/>
      <c r="X43" s="610"/>
      <c r="Y43" s="642"/>
      <c r="Z43" s="642"/>
      <c r="AA43" s="642"/>
      <c r="AB43" s="642"/>
      <c r="AC43" s="642"/>
      <c r="AD43" s="607"/>
      <c r="AV43" s="607"/>
    </row>
    <row r="44" spans="1:58" ht="30" customHeight="1" thickBot="1" x14ac:dyDescent="0.25">
      <c r="A44" s="677"/>
      <c r="B44" s="1240"/>
      <c r="C44" s="760" t="s">
        <v>400</v>
      </c>
      <c r="D44" s="1243"/>
      <c r="E44" s="774" t="s">
        <v>279</v>
      </c>
      <c r="F44" s="762">
        <v>50.05</v>
      </c>
      <c r="G44" s="733">
        <v>1E-3</v>
      </c>
      <c r="H44" s="733">
        <v>-5.8999999999999997E-2</v>
      </c>
      <c r="I44" s="733">
        <v>4.3999999999999997E-2</v>
      </c>
      <c r="J44" s="733">
        <v>2</v>
      </c>
      <c r="K44" s="775">
        <v>42843</v>
      </c>
      <c r="L44" s="1246"/>
      <c r="M44" s="716"/>
      <c r="N44" s="699"/>
      <c r="Q44" s="641"/>
      <c r="R44" s="642"/>
      <c r="S44" s="642"/>
      <c r="T44" s="642"/>
      <c r="U44" s="642"/>
      <c r="V44" s="642"/>
      <c r="W44" s="642"/>
      <c r="X44" s="642"/>
      <c r="Y44" s="642"/>
      <c r="Z44" s="642"/>
      <c r="AA44" s="642"/>
      <c r="AB44" s="642"/>
      <c r="AC44" s="642"/>
      <c r="AD44" s="607"/>
      <c r="AV44" s="607"/>
    </row>
    <row r="45" spans="1:58" ht="30" customHeight="1" thickBot="1" x14ac:dyDescent="0.25">
      <c r="A45" s="677"/>
      <c r="B45" s="607"/>
      <c r="C45" s="622"/>
      <c r="D45" s="622"/>
      <c r="E45" s="622"/>
      <c r="F45" s="622"/>
      <c r="G45" s="622"/>
      <c r="H45" s="622"/>
      <c r="I45" s="622"/>
      <c r="J45" s="622"/>
      <c r="K45" s="744"/>
      <c r="L45" s="622"/>
      <c r="M45" s="716"/>
      <c r="N45" s="699"/>
      <c r="Q45" s="641"/>
      <c r="R45" s="642"/>
      <c r="S45" s="642"/>
      <c r="T45" s="642"/>
      <c r="U45" s="642"/>
      <c r="V45" s="642"/>
      <c r="W45" s="642"/>
      <c r="X45" s="642"/>
      <c r="Y45" s="642"/>
      <c r="Z45" s="642"/>
      <c r="AA45" s="642"/>
      <c r="AB45" s="642"/>
      <c r="AC45" s="642"/>
      <c r="AD45" s="607"/>
      <c r="AV45" s="607"/>
    </row>
    <row r="46" spans="1:58" ht="30" customHeight="1" x14ac:dyDescent="0.2">
      <c r="A46" s="677"/>
      <c r="B46" s="607"/>
      <c r="C46" s="1392" t="s">
        <v>496</v>
      </c>
      <c r="D46" s="1393"/>
      <c r="E46" s="1393"/>
      <c r="F46" s="1393"/>
      <c r="G46" s="1393"/>
      <c r="H46" s="1393"/>
      <c r="I46" s="1393"/>
      <c r="J46" s="1393"/>
      <c r="K46" s="1393"/>
      <c r="L46" s="1393"/>
      <c r="M46" s="1393"/>
      <c r="N46" s="1393"/>
      <c r="O46" s="1393"/>
      <c r="P46" s="1393"/>
      <c r="Q46" s="1393"/>
      <c r="R46" s="1393"/>
      <c r="S46" s="1393"/>
      <c r="T46" s="1394"/>
      <c r="U46" s="642"/>
      <c r="V46" s="642"/>
      <c r="W46" s="642"/>
      <c r="X46" s="642"/>
      <c r="Y46" s="642"/>
      <c r="Z46" s="642"/>
      <c r="AA46" s="642"/>
      <c r="AB46" s="642"/>
      <c r="AC46" s="642"/>
      <c r="AD46" s="607"/>
      <c r="AV46" s="607"/>
    </row>
    <row r="47" spans="1:58" ht="30" customHeight="1" thickBot="1" x14ac:dyDescent="0.25">
      <c r="A47" s="677"/>
      <c r="B47" s="607"/>
      <c r="C47" s="1395"/>
      <c r="D47" s="1396"/>
      <c r="E47" s="1396"/>
      <c r="F47" s="1396"/>
      <c r="G47" s="1396"/>
      <c r="H47" s="1396"/>
      <c r="I47" s="1396"/>
      <c r="J47" s="1396"/>
      <c r="K47" s="1396"/>
      <c r="L47" s="1396"/>
      <c r="M47" s="1396"/>
      <c r="N47" s="1396"/>
      <c r="O47" s="1396"/>
      <c r="P47" s="1396"/>
      <c r="Q47" s="1396"/>
      <c r="R47" s="1396"/>
      <c r="S47" s="1396"/>
      <c r="T47" s="1397"/>
      <c r="U47" s="642"/>
      <c r="V47" s="642"/>
      <c r="W47" s="642"/>
      <c r="X47" s="642"/>
      <c r="Y47" s="642"/>
      <c r="Z47" s="642"/>
      <c r="AA47" s="642"/>
      <c r="AB47" s="642"/>
      <c r="AC47" s="642"/>
      <c r="AD47" s="607"/>
      <c r="AV47" s="607"/>
    </row>
    <row r="48" spans="1:58" ht="30" customHeight="1" thickBot="1" x14ac:dyDescent="0.25">
      <c r="A48" s="677"/>
      <c r="B48" s="607"/>
      <c r="C48" s="1232" t="s">
        <v>497</v>
      </c>
      <c r="D48" s="1233"/>
      <c r="E48" s="1233"/>
      <c r="F48" s="1233"/>
      <c r="G48" s="1233"/>
      <c r="H48" s="1233"/>
      <c r="I48" s="1233"/>
      <c r="J48" s="1233"/>
      <c r="K48" s="1233"/>
      <c r="L48" s="1233"/>
      <c r="M48" s="1233"/>
      <c r="N48" s="1233"/>
      <c r="O48" s="1233"/>
      <c r="P48" s="1233"/>
      <c r="Q48" s="1233"/>
      <c r="R48" s="1233"/>
      <c r="S48" s="1233"/>
      <c r="T48" s="1234"/>
      <c r="U48" s="642"/>
      <c r="V48" s="642"/>
      <c r="W48" s="642"/>
      <c r="X48" s="642"/>
      <c r="Y48" s="642"/>
      <c r="Z48" s="642"/>
      <c r="AA48" s="642"/>
      <c r="AB48" s="642"/>
      <c r="AC48" s="642"/>
      <c r="AD48" s="607"/>
      <c r="AV48" s="607"/>
      <c r="AW48" s="607"/>
      <c r="AX48" s="607"/>
      <c r="AY48" s="607"/>
      <c r="AZ48" s="607"/>
      <c r="BA48" s="607"/>
      <c r="BB48" s="607"/>
      <c r="BC48" s="607"/>
      <c r="BD48" s="607"/>
      <c r="BE48" s="607"/>
      <c r="BF48" s="607"/>
    </row>
    <row r="49" spans="1:58" ht="30" customHeight="1" thickBot="1" x14ac:dyDescent="0.25">
      <c r="A49" s="677"/>
      <c r="B49" s="607"/>
      <c r="C49" s="745"/>
      <c r="D49" s="776" t="s">
        <v>54</v>
      </c>
      <c r="E49" s="777" t="s">
        <v>341</v>
      </c>
      <c r="F49" s="776" t="s">
        <v>340</v>
      </c>
      <c r="G49" s="776" t="s">
        <v>233</v>
      </c>
      <c r="H49" s="776" t="s">
        <v>294</v>
      </c>
      <c r="I49" s="776" t="s">
        <v>231</v>
      </c>
      <c r="J49" s="776" t="s">
        <v>295</v>
      </c>
      <c r="K49" s="778" t="s">
        <v>232</v>
      </c>
      <c r="L49" s="867" t="s">
        <v>362</v>
      </c>
      <c r="M49" s="716"/>
      <c r="N49" s="699"/>
      <c r="O49" s="1361" t="s">
        <v>504</v>
      </c>
      <c r="P49" s="1362" t="s">
        <v>231</v>
      </c>
      <c r="Q49" s="1363"/>
      <c r="R49" s="1364"/>
      <c r="S49" s="1365" t="s">
        <v>232</v>
      </c>
      <c r="T49" s="1367" t="s">
        <v>362</v>
      </c>
      <c r="U49" s="642"/>
      <c r="V49" s="642"/>
      <c r="W49" s="642"/>
      <c r="X49" s="642"/>
      <c r="Y49" s="642"/>
      <c r="Z49" s="642"/>
      <c r="AA49" s="642"/>
      <c r="AB49" s="642"/>
      <c r="AC49" s="642"/>
      <c r="AD49" s="607"/>
      <c r="AV49" s="607"/>
      <c r="AW49" s="607"/>
      <c r="AX49" s="607"/>
      <c r="AY49" s="607"/>
      <c r="AZ49" s="607"/>
      <c r="BA49" s="607"/>
      <c r="BB49" s="607"/>
      <c r="BC49" s="607"/>
      <c r="BD49" s="607"/>
      <c r="BE49" s="607"/>
      <c r="BF49" s="607"/>
    </row>
    <row r="50" spans="1:58" ht="30" customHeight="1" thickBot="1" x14ac:dyDescent="0.25">
      <c r="A50" s="932"/>
      <c r="B50" s="933"/>
      <c r="C50" s="933"/>
      <c r="D50" s="933"/>
      <c r="E50" s="934"/>
      <c r="F50" s="934"/>
      <c r="G50" s="934"/>
      <c r="H50" s="934"/>
      <c r="I50" s="934"/>
      <c r="J50" s="934"/>
      <c r="K50" s="935"/>
      <c r="L50" s="936"/>
      <c r="M50" s="716"/>
      <c r="N50" s="699"/>
      <c r="O50" s="1361"/>
      <c r="P50" s="1362"/>
      <c r="Q50" s="1363"/>
      <c r="R50" s="1364"/>
      <c r="S50" s="1366"/>
      <c r="T50" s="1368"/>
      <c r="U50" s="642"/>
      <c r="V50" s="642"/>
      <c r="W50" s="642"/>
      <c r="X50" s="642"/>
      <c r="Y50" s="642"/>
      <c r="Z50" s="642"/>
      <c r="AA50" s="642"/>
      <c r="AB50" s="642"/>
      <c r="AC50" s="642"/>
      <c r="AD50" s="607"/>
      <c r="AV50" s="607"/>
      <c r="AW50" s="607"/>
      <c r="AX50" s="607"/>
      <c r="AY50" s="607"/>
      <c r="AZ50" s="607"/>
      <c r="BA50" s="607"/>
      <c r="BB50" s="607"/>
      <c r="BC50" s="607"/>
      <c r="BD50" s="607"/>
      <c r="BE50" s="607"/>
      <c r="BF50" s="607"/>
    </row>
    <row r="51" spans="1:58" ht="30" customHeight="1" thickBot="1" x14ac:dyDescent="0.25">
      <c r="A51" s="1331" t="s">
        <v>32</v>
      </c>
      <c r="B51" s="1386"/>
      <c r="C51" s="1336" t="s">
        <v>498</v>
      </c>
      <c r="D51" s="1390" t="s">
        <v>351</v>
      </c>
      <c r="E51" s="1391" t="s">
        <v>499</v>
      </c>
      <c r="F51" s="1034">
        <v>15.3</v>
      </c>
      <c r="G51" s="1034">
        <v>0.1</v>
      </c>
      <c r="H51" s="929">
        <v>-0.1</v>
      </c>
      <c r="I51" s="1033">
        <v>0.2</v>
      </c>
      <c r="J51" s="1381">
        <v>2</v>
      </c>
      <c r="K51" s="1384">
        <v>43258</v>
      </c>
      <c r="L51" s="1372" t="s">
        <v>500</v>
      </c>
      <c r="M51" s="716"/>
      <c r="N51" s="699"/>
      <c r="O51" s="766"/>
      <c r="P51" s="766"/>
      <c r="Q51" s="766"/>
      <c r="R51" s="766"/>
      <c r="S51" s="937"/>
      <c r="T51" s="938"/>
      <c r="U51" s="642"/>
      <c r="V51" s="642"/>
      <c r="W51" s="642"/>
      <c r="X51" s="642"/>
      <c r="Y51" s="642"/>
      <c r="Z51" s="642"/>
      <c r="AA51" s="642"/>
      <c r="AB51" s="642"/>
      <c r="AC51" s="642"/>
      <c r="AD51" s="607"/>
      <c r="AV51" s="607"/>
      <c r="AW51" s="607"/>
      <c r="AX51" s="607"/>
      <c r="AY51" s="607"/>
      <c r="AZ51" s="607"/>
      <c r="BA51" s="607"/>
      <c r="BB51" s="607"/>
      <c r="BC51" s="607"/>
      <c r="BD51" s="607"/>
      <c r="BE51" s="607"/>
      <c r="BF51" s="607"/>
    </row>
    <row r="52" spans="1:58" ht="30" customHeight="1" x14ac:dyDescent="0.2">
      <c r="A52" s="1387"/>
      <c r="B52" s="1386"/>
      <c r="C52" s="1336"/>
      <c r="D52" s="1390"/>
      <c r="E52" s="1306"/>
      <c r="F52" s="928">
        <v>24.9</v>
      </c>
      <c r="G52" s="1034">
        <v>0.1</v>
      </c>
      <c r="H52" s="929">
        <v>0</v>
      </c>
      <c r="I52" s="928">
        <v>0.2</v>
      </c>
      <c r="J52" s="1381"/>
      <c r="K52" s="1384"/>
      <c r="L52" s="1372"/>
      <c r="M52" s="716"/>
      <c r="N52" s="699"/>
      <c r="O52" s="945"/>
      <c r="P52" s="939" t="s">
        <v>3</v>
      </c>
      <c r="Q52" s="940" t="s">
        <v>505</v>
      </c>
      <c r="R52" s="940" t="s">
        <v>16</v>
      </c>
      <c r="S52" s="1369" t="s">
        <v>506</v>
      </c>
      <c r="T52" s="1370" t="s">
        <v>507</v>
      </c>
      <c r="U52" s="642"/>
      <c r="V52" s="642"/>
      <c r="W52" s="642"/>
      <c r="X52" s="642"/>
      <c r="Y52" s="642"/>
      <c r="Z52" s="642"/>
      <c r="AA52" s="642"/>
      <c r="AB52" s="642"/>
      <c r="AC52" s="642"/>
      <c r="AD52" s="607"/>
      <c r="AV52" s="607"/>
      <c r="AW52" s="607"/>
      <c r="AX52" s="607"/>
      <c r="AY52" s="607"/>
      <c r="AZ52" s="607"/>
      <c r="BA52" s="607"/>
      <c r="BB52" s="607"/>
      <c r="BC52" s="607"/>
      <c r="BD52" s="607"/>
      <c r="BE52" s="607"/>
      <c r="BF52" s="607"/>
    </row>
    <row r="53" spans="1:58" ht="30" customHeight="1" thickBot="1" x14ac:dyDescent="0.25">
      <c r="A53" s="1388"/>
      <c r="B53" s="1389"/>
      <c r="C53" s="1336"/>
      <c r="D53" s="1390"/>
      <c r="E53" s="1306"/>
      <c r="F53" s="930">
        <v>29.7</v>
      </c>
      <c r="G53" s="1034">
        <v>0.1</v>
      </c>
      <c r="H53" s="929">
        <v>0</v>
      </c>
      <c r="I53" s="928">
        <v>0.2</v>
      </c>
      <c r="J53" s="1382"/>
      <c r="K53" s="1385"/>
      <c r="L53" s="1373"/>
      <c r="M53" s="716"/>
      <c r="N53" s="699"/>
      <c r="O53" s="1287" t="s">
        <v>508</v>
      </c>
      <c r="P53" s="941">
        <f>I52</f>
        <v>0.2</v>
      </c>
      <c r="Q53" s="1026">
        <f>I55</f>
        <v>1.7</v>
      </c>
      <c r="R53" s="942">
        <f>I58</f>
        <v>0</v>
      </c>
      <c r="S53" s="1276"/>
      <c r="T53" s="1279"/>
      <c r="U53" s="642"/>
      <c r="V53" s="642"/>
      <c r="W53" s="642"/>
      <c r="X53" s="642"/>
      <c r="Y53" s="642"/>
      <c r="Z53" s="642"/>
      <c r="AA53" s="642"/>
      <c r="AB53" s="642"/>
      <c r="AC53" s="642"/>
      <c r="AD53" s="607"/>
      <c r="AV53" s="607"/>
      <c r="AW53" s="607"/>
      <c r="AX53" s="607"/>
      <c r="AY53" s="607"/>
      <c r="AZ53" s="607"/>
      <c r="BA53" s="607"/>
      <c r="BB53" s="607"/>
      <c r="BC53" s="607"/>
      <c r="BD53" s="607"/>
      <c r="BE53" s="607"/>
      <c r="BF53" s="607"/>
    </row>
    <row r="54" spans="1:58" ht="30" customHeight="1" thickBot="1" x14ac:dyDescent="0.25">
      <c r="A54" s="1321" t="s">
        <v>501</v>
      </c>
      <c r="B54" s="1346"/>
      <c r="C54" s="1336"/>
      <c r="D54" s="1390"/>
      <c r="E54" s="1306"/>
      <c r="F54" s="928">
        <v>33.1</v>
      </c>
      <c r="G54" s="1034">
        <v>0.1</v>
      </c>
      <c r="H54" s="928">
        <v>-3.1</v>
      </c>
      <c r="I54" s="928">
        <v>1.7</v>
      </c>
      <c r="J54" s="1380">
        <v>2</v>
      </c>
      <c r="K54" s="1383">
        <v>43264</v>
      </c>
      <c r="L54" s="1371" t="s">
        <v>502</v>
      </c>
      <c r="M54" s="716"/>
      <c r="N54" s="699"/>
      <c r="O54" s="1288"/>
      <c r="P54" s="943"/>
      <c r="Q54" s="944"/>
      <c r="R54" s="944"/>
      <c r="S54" s="1277"/>
      <c r="T54" s="1280"/>
      <c r="U54" s="642"/>
      <c r="V54" s="642"/>
      <c r="W54" s="642"/>
      <c r="X54" s="642"/>
      <c r="Y54" s="642"/>
      <c r="Z54" s="642"/>
      <c r="AA54" s="642"/>
      <c r="AB54" s="642"/>
      <c r="AC54" s="642"/>
      <c r="AD54" s="607"/>
      <c r="AV54" s="607"/>
      <c r="AW54" s="607"/>
      <c r="AX54" s="607"/>
      <c r="AY54" s="607"/>
      <c r="AZ54" s="607"/>
      <c r="BA54" s="607"/>
      <c r="BB54" s="607"/>
      <c r="BC54" s="607"/>
      <c r="BD54" s="607"/>
      <c r="BE54" s="607"/>
      <c r="BF54" s="607"/>
    </row>
    <row r="55" spans="1:58" ht="30" customHeight="1" x14ac:dyDescent="0.2">
      <c r="A55" s="1323"/>
      <c r="B55" s="1347"/>
      <c r="C55" s="1336"/>
      <c r="D55" s="1390"/>
      <c r="E55" s="1306"/>
      <c r="F55" s="930">
        <v>51</v>
      </c>
      <c r="G55" s="1034">
        <v>0.1</v>
      </c>
      <c r="H55" s="930">
        <v>-1</v>
      </c>
      <c r="I55" s="928">
        <v>1.7</v>
      </c>
      <c r="J55" s="1381"/>
      <c r="K55" s="1384"/>
      <c r="L55" s="1372"/>
      <c r="M55" s="716"/>
      <c r="N55" s="699"/>
      <c r="O55" s="794"/>
      <c r="P55" s="607"/>
      <c r="Q55" s="641"/>
      <c r="R55" s="642"/>
      <c r="S55" s="642"/>
      <c r="T55" s="642"/>
      <c r="U55" s="642"/>
      <c r="V55" s="642"/>
      <c r="W55" s="642"/>
      <c r="X55" s="642"/>
      <c r="Y55" s="642"/>
      <c r="Z55" s="642"/>
      <c r="AA55" s="642"/>
      <c r="AB55" s="642"/>
      <c r="AC55" s="642"/>
      <c r="AD55" s="607"/>
      <c r="AV55" s="607"/>
      <c r="AW55" s="607"/>
      <c r="AX55" s="607"/>
      <c r="AY55" s="607"/>
      <c r="AZ55" s="607"/>
      <c r="BA55" s="607"/>
      <c r="BB55" s="607"/>
      <c r="BC55" s="607"/>
      <c r="BD55" s="607"/>
      <c r="BE55" s="607"/>
      <c r="BF55" s="607"/>
    </row>
    <row r="56" spans="1:58" ht="30" customHeight="1" thickBot="1" x14ac:dyDescent="0.25">
      <c r="A56" s="1325"/>
      <c r="B56" s="1348"/>
      <c r="C56" s="1336"/>
      <c r="D56" s="1390"/>
      <c r="E56" s="1306"/>
      <c r="F56" s="928">
        <v>77.2</v>
      </c>
      <c r="G56" s="1034">
        <v>0.1</v>
      </c>
      <c r="H56" s="928">
        <v>2.8</v>
      </c>
      <c r="I56" s="928">
        <v>1.7</v>
      </c>
      <c r="J56" s="1382"/>
      <c r="K56" s="1385"/>
      <c r="L56" s="1373"/>
      <c r="M56" s="716"/>
      <c r="N56" s="699"/>
      <c r="O56" s="794"/>
      <c r="P56" s="607"/>
      <c r="Q56" s="641"/>
      <c r="R56" s="642"/>
      <c r="S56" s="642"/>
      <c r="T56" s="642"/>
      <c r="U56" s="642"/>
      <c r="V56" s="642"/>
      <c r="W56" s="642"/>
      <c r="X56" s="642"/>
      <c r="Y56" s="642"/>
      <c r="Z56" s="642"/>
      <c r="AA56" s="642"/>
      <c r="AB56" s="642"/>
      <c r="AC56" s="642"/>
      <c r="AD56" s="607"/>
      <c r="AV56" s="607"/>
      <c r="AW56" s="607"/>
      <c r="AX56" s="607"/>
      <c r="AY56" s="607"/>
      <c r="AZ56" s="607"/>
      <c r="BA56" s="607"/>
      <c r="BB56" s="607"/>
      <c r="BC56" s="607"/>
      <c r="BD56" s="607"/>
      <c r="BE56" s="607"/>
      <c r="BF56" s="607"/>
    </row>
    <row r="57" spans="1:58" ht="30" customHeight="1" x14ac:dyDescent="0.2">
      <c r="A57" s="1323" t="s">
        <v>115</v>
      </c>
      <c r="B57" s="1347"/>
      <c r="C57" s="1336"/>
      <c r="D57" s="1390"/>
      <c r="E57" s="1306"/>
      <c r="F57" s="626">
        <v>397.9</v>
      </c>
      <c r="G57" s="626">
        <v>0.1</v>
      </c>
      <c r="H57" s="626">
        <v>-1.3</v>
      </c>
      <c r="I57" s="1374">
        <v>0.06</v>
      </c>
      <c r="J57" s="1374">
        <v>2</v>
      </c>
      <c r="K57" s="1376">
        <v>42625</v>
      </c>
      <c r="L57" s="1378" t="s">
        <v>503</v>
      </c>
      <c r="M57" s="716"/>
      <c r="N57" s="699"/>
      <c r="O57" s="794"/>
      <c r="P57" s="607"/>
      <c r="Q57" s="641"/>
      <c r="R57" s="642"/>
      <c r="S57" s="642"/>
      <c r="T57" s="642"/>
      <c r="U57" s="642"/>
      <c r="V57" s="642"/>
      <c r="W57" s="642"/>
      <c r="X57" s="642"/>
      <c r="Y57" s="642"/>
      <c r="Z57" s="642"/>
      <c r="AA57" s="642"/>
      <c r="AB57" s="642"/>
      <c r="AC57" s="642"/>
      <c r="AD57" s="607"/>
      <c r="AV57" s="607"/>
      <c r="AW57" s="607"/>
      <c r="AX57" s="607"/>
      <c r="AY57" s="607"/>
      <c r="AZ57" s="607"/>
      <c r="BA57" s="607"/>
      <c r="BB57" s="607"/>
      <c r="BC57" s="607"/>
      <c r="BD57" s="607"/>
      <c r="BE57" s="607"/>
      <c r="BF57" s="607"/>
    </row>
    <row r="58" spans="1:58" ht="30" customHeight="1" x14ac:dyDescent="0.2">
      <c r="A58" s="1323"/>
      <c r="B58" s="1347"/>
      <c r="C58" s="1336"/>
      <c r="D58" s="1390"/>
      <c r="E58" s="1306"/>
      <c r="F58" s="626">
        <v>753.1</v>
      </c>
      <c r="G58" s="626">
        <v>0.1</v>
      </c>
      <c r="H58" s="626">
        <v>-0.74</v>
      </c>
      <c r="I58" s="1375"/>
      <c r="J58" s="1375"/>
      <c r="K58" s="1377"/>
      <c r="L58" s="1379"/>
      <c r="M58" s="716"/>
      <c r="N58" s="699"/>
      <c r="O58" s="794"/>
      <c r="P58" s="607"/>
      <c r="Q58" s="641"/>
      <c r="R58" s="642"/>
      <c r="S58" s="642"/>
      <c r="T58" s="642"/>
      <c r="U58" s="642"/>
      <c r="V58" s="642"/>
      <c r="W58" s="642"/>
      <c r="X58" s="642"/>
      <c r="Y58" s="642"/>
      <c r="Z58" s="642"/>
      <c r="AA58" s="642"/>
      <c r="AB58" s="642"/>
      <c r="AC58" s="642"/>
      <c r="AD58" s="607"/>
      <c r="AV58" s="607"/>
      <c r="AW58" s="607"/>
      <c r="AX58" s="607"/>
      <c r="AY58" s="607"/>
      <c r="AZ58" s="607"/>
      <c r="BA58" s="607"/>
      <c r="BB58" s="607"/>
      <c r="BC58" s="607"/>
      <c r="BD58" s="607"/>
      <c r="BE58" s="607"/>
      <c r="BF58" s="607"/>
    </row>
    <row r="59" spans="1:58" ht="30" customHeight="1" thickBot="1" x14ac:dyDescent="0.25">
      <c r="A59" s="1323"/>
      <c r="B59" s="1347"/>
      <c r="C59" s="1336"/>
      <c r="D59" s="1390"/>
      <c r="E59" s="1306"/>
      <c r="F59" s="950">
        <v>899</v>
      </c>
      <c r="G59" s="1032">
        <v>0.1</v>
      </c>
      <c r="H59" s="1032">
        <v>-0.09</v>
      </c>
      <c r="I59" s="1375"/>
      <c r="J59" s="1375"/>
      <c r="K59" s="1377"/>
      <c r="L59" s="1379"/>
      <c r="M59" s="716"/>
      <c r="N59" s="699"/>
      <c r="O59" s="794"/>
      <c r="P59" s="607"/>
      <c r="Q59" s="641"/>
      <c r="R59" s="642"/>
      <c r="S59" s="642"/>
      <c r="T59" s="642"/>
      <c r="U59" s="642"/>
      <c r="V59" s="642"/>
      <c r="W59" s="642"/>
      <c r="X59" s="642"/>
      <c r="Y59" s="642"/>
      <c r="Z59" s="642"/>
      <c r="AA59" s="642"/>
      <c r="AB59" s="642"/>
      <c r="AC59" s="642"/>
      <c r="AD59" s="607"/>
      <c r="AV59" s="607"/>
      <c r="AW59" s="607"/>
      <c r="AX59" s="607"/>
      <c r="AY59" s="607"/>
      <c r="AZ59" s="607"/>
      <c r="BA59" s="607"/>
      <c r="BB59" s="607"/>
      <c r="BC59" s="607"/>
      <c r="BD59" s="607"/>
      <c r="BE59" s="607"/>
      <c r="BF59" s="607"/>
    </row>
    <row r="60" spans="1:58" ht="30" customHeight="1" x14ac:dyDescent="0.2">
      <c r="A60" s="668"/>
      <c r="B60" s="951"/>
      <c r="C60" s="781"/>
      <c r="D60" s="931"/>
      <c r="E60" s="952"/>
      <c r="F60" s="781"/>
      <c r="G60" s="781"/>
      <c r="H60" s="781"/>
      <c r="I60" s="781"/>
      <c r="J60" s="781"/>
      <c r="K60" s="782"/>
      <c r="L60" s="620"/>
      <c r="M60" s="716"/>
      <c r="N60" s="699"/>
      <c r="O60" s="794"/>
      <c r="P60" s="607"/>
      <c r="Q60" s="641"/>
      <c r="R60" s="642"/>
      <c r="S60" s="642"/>
      <c r="T60" s="642"/>
      <c r="U60" s="642"/>
      <c r="V60" s="642"/>
      <c r="W60" s="642"/>
      <c r="X60" s="642"/>
      <c r="Y60" s="642"/>
      <c r="Z60" s="642"/>
      <c r="AA60" s="642"/>
      <c r="AB60" s="642"/>
      <c r="AC60" s="642"/>
      <c r="AD60" s="607"/>
      <c r="AV60" s="607"/>
      <c r="AW60" s="607"/>
      <c r="AX60" s="607"/>
      <c r="AY60" s="607"/>
      <c r="AZ60" s="607"/>
      <c r="BA60" s="607"/>
      <c r="BB60" s="607"/>
      <c r="BC60" s="607"/>
      <c r="BD60" s="607"/>
      <c r="BE60" s="607"/>
      <c r="BF60" s="607"/>
    </row>
    <row r="61" spans="1:58" ht="30" customHeight="1" thickBot="1" x14ac:dyDescent="0.25">
      <c r="A61" s="876"/>
      <c r="B61" s="953"/>
      <c r="C61" s="880"/>
      <c r="D61" s="803"/>
      <c r="E61" s="954"/>
      <c r="F61" s="880"/>
      <c r="G61" s="880"/>
      <c r="H61" s="880"/>
      <c r="I61" s="880"/>
      <c r="J61" s="880"/>
      <c r="K61" s="881"/>
      <c r="L61" s="955"/>
      <c r="M61" s="716"/>
      <c r="N61" s="699"/>
      <c r="O61" s="794"/>
      <c r="P61" s="607"/>
      <c r="Q61" s="641"/>
      <c r="R61" s="642"/>
      <c r="S61" s="642"/>
      <c r="T61" s="642"/>
      <c r="U61" s="642"/>
      <c r="V61" s="642"/>
      <c r="W61" s="642"/>
      <c r="X61" s="642"/>
      <c r="Y61" s="642"/>
      <c r="Z61" s="642"/>
      <c r="AA61" s="642"/>
      <c r="AB61" s="642"/>
      <c r="AC61" s="642"/>
      <c r="AD61" s="607"/>
      <c r="AV61" s="607"/>
      <c r="AW61" s="607"/>
      <c r="AX61" s="607"/>
      <c r="AY61" s="607"/>
      <c r="AZ61" s="607"/>
      <c r="BA61" s="607"/>
      <c r="BB61" s="607"/>
      <c r="BC61" s="607"/>
      <c r="BD61" s="607"/>
      <c r="BE61" s="607"/>
      <c r="BF61" s="607"/>
    </row>
    <row r="62" spans="1:58" ht="30" customHeight="1" x14ac:dyDescent="0.2">
      <c r="A62" s="1351" t="s">
        <v>32</v>
      </c>
      <c r="B62" s="1352"/>
      <c r="C62" s="1335" t="s">
        <v>509</v>
      </c>
      <c r="D62" s="1357" t="s">
        <v>351</v>
      </c>
      <c r="E62" s="1317">
        <v>19506160802033</v>
      </c>
      <c r="F62" s="927">
        <v>15.4</v>
      </c>
      <c r="G62" s="926">
        <v>0.1</v>
      </c>
      <c r="H62" s="926">
        <v>-0.2</v>
      </c>
      <c r="I62" s="926">
        <v>0.2</v>
      </c>
      <c r="J62" s="1358">
        <v>2</v>
      </c>
      <c r="K62" s="1344">
        <v>43258</v>
      </c>
      <c r="L62" s="1291" t="s">
        <v>510</v>
      </c>
      <c r="M62" s="716"/>
      <c r="N62" s="699"/>
      <c r="O62" s="960"/>
      <c r="P62" s="956" t="s">
        <v>3</v>
      </c>
      <c r="Q62" s="957" t="s">
        <v>505</v>
      </c>
      <c r="R62" s="957" t="s">
        <v>16</v>
      </c>
      <c r="S62" s="1275" t="s">
        <v>513</v>
      </c>
      <c r="T62" s="1278" t="s">
        <v>514</v>
      </c>
      <c r="U62" s="642"/>
      <c r="V62" s="642"/>
      <c r="W62" s="642"/>
      <c r="X62" s="642"/>
      <c r="Y62" s="642"/>
      <c r="Z62" s="642"/>
      <c r="AA62" s="642"/>
      <c r="AB62" s="642"/>
      <c r="AC62" s="642"/>
      <c r="AD62" s="607"/>
      <c r="AV62" s="607"/>
      <c r="AW62" s="607"/>
      <c r="AX62" s="607"/>
      <c r="AY62" s="607"/>
      <c r="AZ62" s="607"/>
      <c r="BA62" s="607"/>
      <c r="BB62" s="607"/>
      <c r="BC62" s="607"/>
      <c r="BD62" s="607"/>
      <c r="BE62" s="607"/>
      <c r="BF62" s="607"/>
    </row>
    <row r="63" spans="1:58" ht="30" customHeight="1" x14ac:dyDescent="0.2">
      <c r="A63" s="1353"/>
      <c r="B63" s="1354"/>
      <c r="C63" s="1336"/>
      <c r="D63" s="1302"/>
      <c r="E63" s="1306"/>
      <c r="F63" s="928">
        <v>24.8</v>
      </c>
      <c r="G63" s="928">
        <v>0.1</v>
      </c>
      <c r="H63" s="928">
        <v>0.1</v>
      </c>
      <c r="I63" s="928">
        <v>0.3</v>
      </c>
      <c r="J63" s="1306"/>
      <c r="K63" s="1306"/>
      <c r="L63" s="1292"/>
      <c r="M63" s="716"/>
      <c r="N63" s="699"/>
      <c r="O63" s="1287" t="s">
        <v>515</v>
      </c>
      <c r="P63" s="941">
        <f>I63</f>
        <v>0.3</v>
      </c>
      <c r="Q63" s="958">
        <f>I65</f>
        <v>1.7</v>
      </c>
      <c r="R63" s="959">
        <f>I68</f>
        <v>0.21</v>
      </c>
      <c r="S63" s="1276"/>
      <c r="T63" s="1279"/>
      <c r="U63" s="642"/>
      <c r="V63" s="642"/>
      <c r="W63" s="642"/>
      <c r="X63" s="642"/>
      <c r="Y63" s="642"/>
      <c r="Z63" s="642"/>
      <c r="AA63" s="642"/>
      <c r="AB63" s="642"/>
      <c r="AC63" s="642"/>
      <c r="AD63" s="607"/>
      <c r="AV63" s="607"/>
      <c r="AW63" s="607"/>
      <c r="AX63" s="607"/>
      <c r="AY63" s="607"/>
      <c r="AZ63" s="607"/>
      <c r="BA63" s="607"/>
      <c r="BB63" s="607"/>
      <c r="BC63" s="607"/>
      <c r="BD63" s="607"/>
      <c r="BE63" s="607"/>
      <c r="BF63" s="607"/>
    </row>
    <row r="64" spans="1:58" ht="30" customHeight="1" thickBot="1" x14ac:dyDescent="0.25">
      <c r="A64" s="1355"/>
      <c r="B64" s="1356"/>
      <c r="C64" s="1336"/>
      <c r="D64" s="1302"/>
      <c r="E64" s="1306"/>
      <c r="F64" s="928">
        <v>34.4</v>
      </c>
      <c r="G64" s="928">
        <v>0.1</v>
      </c>
      <c r="H64" s="928">
        <v>0.1</v>
      </c>
      <c r="I64" s="928">
        <v>0.4</v>
      </c>
      <c r="J64" s="1345"/>
      <c r="K64" s="1345"/>
      <c r="L64" s="1293"/>
      <c r="M64" s="716"/>
      <c r="N64" s="699"/>
      <c r="O64" s="1288"/>
      <c r="P64" s="943"/>
      <c r="Q64" s="944"/>
      <c r="R64" s="944"/>
      <c r="S64" s="1277"/>
      <c r="T64" s="1280"/>
      <c r="U64" s="642"/>
      <c r="V64" s="642"/>
      <c r="W64" s="642"/>
      <c r="X64" s="642"/>
      <c r="Y64" s="642"/>
      <c r="Z64" s="642"/>
      <c r="AA64" s="642"/>
      <c r="AB64" s="642"/>
      <c r="AC64" s="642"/>
      <c r="AD64" s="607"/>
      <c r="AV64" s="607"/>
      <c r="AW64" s="607"/>
      <c r="AX64" s="607"/>
      <c r="AY64" s="607"/>
      <c r="AZ64" s="607"/>
      <c r="BA64" s="607"/>
      <c r="BB64" s="607"/>
      <c r="BC64" s="607"/>
      <c r="BD64" s="607"/>
      <c r="BE64" s="607"/>
      <c r="BF64" s="607"/>
    </row>
    <row r="65" spans="1:58" ht="30" customHeight="1" x14ac:dyDescent="0.2">
      <c r="A65" s="1321" t="s">
        <v>501</v>
      </c>
      <c r="B65" s="1346"/>
      <c r="C65" s="1336"/>
      <c r="D65" s="1302"/>
      <c r="E65" s="1306"/>
      <c r="F65" s="928">
        <v>32.5</v>
      </c>
      <c r="G65" s="946">
        <v>0.1</v>
      </c>
      <c r="H65" s="946">
        <v>-2.5</v>
      </c>
      <c r="I65" s="946">
        <v>1.7</v>
      </c>
      <c r="J65" s="1349">
        <v>2</v>
      </c>
      <c r="K65" s="1350">
        <v>43264</v>
      </c>
      <c r="L65" s="1291" t="s">
        <v>511</v>
      </c>
      <c r="M65" s="716"/>
      <c r="N65" s="699"/>
      <c r="O65" s="794"/>
      <c r="P65" s="607"/>
      <c r="Q65" s="641"/>
      <c r="R65" s="642"/>
      <c r="S65" s="642"/>
      <c r="T65" s="642"/>
      <c r="U65" s="642"/>
      <c r="V65" s="642"/>
      <c r="W65" s="642"/>
      <c r="X65" s="642"/>
      <c r="Y65" s="642"/>
      <c r="Z65" s="642"/>
      <c r="AA65" s="642"/>
      <c r="AB65" s="642"/>
      <c r="AC65" s="642"/>
      <c r="AD65" s="607"/>
      <c r="AV65" s="607"/>
      <c r="AW65" s="607"/>
      <c r="AX65" s="607"/>
      <c r="AY65" s="607"/>
      <c r="AZ65" s="607"/>
      <c r="BA65" s="607"/>
      <c r="BB65" s="607"/>
      <c r="BC65" s="607"/>
      <c r="BD65" s="607"/>
      <c r="BE65" s="607"/>
      <c r="BF65" s="607"/>
    </row>
    <row r="66" spans="1:58" ht="30" customHeight="1" x14ac:dyDescent="0.2">
      <c r="A66" s="1323"/>
      <c r="B66" s="1347"/>
      <c r="C66" s="1336"/>
      <c r="D66" s="1302"/>
      <c r="E66" s="1306"/>
      <c r="F66" s="928">
        <v>50.6</v>
      </c>
      <c r="G66" s="946">
        <v>0.1</v>
      </c>
      <c r="H66" s="946">
        <v>-0.6</v>
      </c>
      <c r="I66" s="946">
        <v>1.7</v>
      </c>
      <c r="J66" s="1306"/>
      <c r="K66" s="1306"/>
      <c r="L66" s="1292"/>
      <c r="M66" s="716"/>
      <c r="N66" s="699"/>
      <c r="O66" s="794"/>
      <c r="P66" s="607"/>
      <c r="Q66" s="641"/>
      <c r="R66" s="642"/>
      <c r="S66" s="642"/>
      <c r="T66" s="642"/>
      <c r="U66" s="642"/>
      <c r="V66" s="642"/>
      <c r="W66" s="642"/>
      <c r="X66" s="642"/>
      <c r="Y66" s="642"/>
      <c r="Z66" s="642"/>
      <c r="AA66" s="642"/>
      <c r="AB66" s="642"/>
      <c r="AC66" s="642"/>
      <c r="AD66" s="607"/>
      <c r="AV66" s="607"/>
      <c r="AW66" s="607"/>
      <c r="AX66" s="607"/>
      <c r="AY66" s="607"/>
      <c r="AZ66" s="607"/>
      <c r="BA66" s="607"/>
      <c r="BB66" s="607"/>
      <c r="BC66" s="607"/>
      <c r="BD66" s="607"/>
      <c r="BE66" s="607"/>
      <c r="BF66" s="607"/>
    </row>
    <row r="67" spans="1:58" ht="30" customHeight="1" thickBot="1" x14ac:dyDescent="0.25">
      <c r="A67" s="1325"/>
      <c r="B67" s="1348"/>
      <c r="C67" s="1336"/>
      <c r="D67" s="1302"/>
      <c r="E67" s="1306"/>
      <c r="F67" s="928">
        <v>77.099999999999994</v>
      </c>
      <c r="G67" s="946">
        <v>0.1</v>
      </c>
      <c r="H67" s="946">
        <v>2.9</v>
      </c>
      <c r="I67" s="946">
        <v>1.7</v>
      </c>
      <c r="J67" s="1345"/>
      <c r="K67" s="1345"/>
      <c r="L67" s="1293"/>
      <c r="M67" s="716"/>
      <c r="N67" s="699"/>
      <c r="O67" s="794"/>
      <c r="P67" s="607"/>
      <c r="Q67" s="641"/>
      <c r="R67" s="642"/>
      <c r="S67" s="642"/>
      <c r="T67" s="642"/>
      <c r="U67" s="642"/>
      <c r="V67" s="642"/>
      <c r="W67" s="642"/>
      <c r="X67" s="642"/>
      <c r="Y67" s="642"/>
      <c r="Z67" s="642"/>
      <c r="AA67" s="642"/>
      <c r="AB67" s="642"/>
      <c r="AC67" s="642"/>
      <c r="AD67" s="607"/>
      <c r="AV67" s="607"/>
      <c r="AW67" s="607"/>
      <c r="AX67" s="607"/>
      <c r="AY67" s="607"/>
      <c r="AZ67" s="607"/>
      <c r="BA67" s="607"/>
      <c r="BB67" s="607"/>
      <c r="BC67" s="607"/>
      <c r="BD67" s="607"/>
      <c r="BE67" s="607"/>
      <c r="BF67" s="607"/>
    </row>
    <row r="68" spans="1:58" ht="30" customHeight="1" x14ac:dyDescent="0.2">
      <c r="A68" s="1321" t="s">
        <v>115</v>
      </c>
      <c r="B68" s="1346"/>
      <c r="C68" s="1336"/>
      <c r="D68" s="1302"/>
      <c r="E68" s="1306"/>
      <c r="F68" s="685">
        <v>499</v>
      </c>
      <c r="G68" s="947">
        <v>0.1</v>
      </c>
      <c r="H68" s="947">
        <v>-1</v>
      </c>
      <c r="I68" s="1359">
        <v>0.21</v>
      </c>
      <c r="J68" s="1360">
        <v>1.6</v>
      </c>
      <c r="K68" s="1338">
        <v>42671</v>
      </c>
      <c r="L68" s="1341" t="s">
        <v>512</v>
      </c>
      <c r="M68" s="716"/>
      <c r="N68" s="699"/>
      <c r="O68" s="794"/>
      <c r="P68" s="607"/>
      <c r="Q68" s="641"/>
      <c r="R68" s="642"/>
      <c r="S68" s="642"/>
      <c r="T68" s="642"/>
      <c r="U68" s="642"/>
      <c r="V68" s="642"/>
      <c r="W68" s="642"/>
      <c r="X68" s="642"/>
      <c r="Y68" s="642"/>
      <c r="Z68" s="642"/>
      <c r="AA68" s="642"/>
      <c r="AB68" s="642"/>
      <c r="AC68" s="642"/>
      <c r="AD68" s="607"/>
      <c r="AV68" s="607"/>
      <c r="AW68" s="607"/>
      <c r="AX68" s="607"/>
      <c r="AY68" s="607"/>
      <c r="AZ68" s="607"/>
      <c r="BA68" s="607"/>
      <c r="BB68" s="607"/>
      <c r="BC68" s="607"/>
      <c r="BD68" s="607"/>
      <c r="BE68" s="607"/>
      <c r="BF68" s="607"/>
    </row>
    <row r="69" spans="1:58" ht="30" customHeight="1" x14ac:dyDescent="0.2">
      <c r="A69" s="1323"/>
      <c r="B69" s="1347"/>
      <c r="C69" s="1336"/>
      <c r="D69" s="1302"/>
      <c r="E69" s="1306"/>
      <c r="F69" s="626">
        <v>799.8</v>
      </c>
      <c r="G69" s="947">
        <v>0.1</v>
      </c>
      <c r="H69" s="947">
        <v>-0.4</v>
      </c>
      <c r="I69" s="1339"/>
      <c r="J69" s="1339"/>
      <c r="K69" s="1339"/>
      <c r="L69" s="1342"/>
      <c r="M69" s="716"/>
      <c r="N69" s="699"/>
      <c r="O69" s="794"/>
      <c r="P69" s="607"/>
      <c r="Q69" s="641"/>
      <c r="R69" s="642"/>
      <c r="S69" s="642"/>
      <c r="T69" s="642"/>
      <c r="U69" s="642"/>
      <c r="V69" s="642"/>
      <c r="W69" s="642"/>
      <c r="X69" s="642"/>
      <c r="Y69" s="642"/>
      <c r="Z69" s="642"/>
      <c r="AA69" s="642"/>
      <c r="AB69" s="642"/>
      <c r="AC69" s="642"/>
      <c r="AD69" s="607"/>
      <c r="AV69" s="607"/>
      <c r="AW69" s="607"/>
      <c r="AX69" s="607"/>
      <c r="AY69" s="607"/>
      <c r="AZ69" s="607"/>
      <c r="BA69" s="607"/>
      <c r="BB69" s="607"/>
      <c r="BC69" s="607"/>
      <c r="BD69" s="607"/>
      <c r="BE69" s="607"/>
      <c r="BF69" s="607"/>
    </row>
    <row r="70" spans="1:58" ht="30" customHeight="1" thickBot="1" x14ac:dyDescent="0.25">
      <c r="A70" s="1325"/>
      <c r="B70" s="1348"/>
      <c r="C70" s="1337"/>
      <c r="D70" s="1303"/>
      <c r="E70" s="1307"/>
      <c r="F70" s="791">
        <v>1099.8</v>
      </c>
      <c r="G70" s="948">
        <v>0.1</v>
      </c>
      <c r="H70" s="948">
        <v>-0.4</v>
      </c>
      <c r="I70" s="1340"/>
      <c r="J70" s="1340"/>
      <c r="K70" s="1340"/>
      <c r="L70" s="1343"/>
      <c r="M70" s="716"/>
      <c r="N70" s="699"/>
      <c r="O70" s="794"/>
      <c r="P70" s="607"/>
      <c r="Q70" s="641"/>
      <c r="R70" s="642"/>
      <c r="S70" s="642"/>
      <c r="T70" s="642"/>
      <c r="U70" s="642"/>
      <c r="V70" s="642"/>
      <c r="W70" s="642"/>
      <c r="X70" s="642"/>
      <c r="Y70" s="642"/>
      <c r="Z70" s="642"/>
      <c r="AA70" s="642"/>
      <c r="AB70" s="642"/>
      <c r="AC70" s="642"/>
      <c r="AD70" s="607"/>
      <c r="AV70" s="607"/>
      <c r="AW70" s="607"/>
      <c r="AX70" s="607"/>
      <c r="AY70" s="607"/>
      <c r="AZ70" s="607"/>
      <c r="BA70" s="607"/>
      <c r="BB70" s="607"/>
      <c r="BC70" s="607"/>
      <c r="BD70" s="607"/>
      <c r="BE70" s="607"/>
      <c r="BF70" s="607"/>
    </row>
    <row r="71" spans="1:58" ht="30" customHeight="1" x14ac:dyDescent="0.2">
      <c r="A71" s="607"/>
      <c r="B71" s="949"/>
      <c r="C71" s="607"/>
      <c r="D71" s="607"/>
      <c r="E71" s="607"/>
      <c r="F71" s="607"/>
      <c r="G71" s="607"/>
      <c r="H71" s="607"/>
      <c r="I71" s="607"/>
      <c r="J71" s="607"/>
      <c r="K71" s="607"/>
      <c r="L71" s="607"/>
      <c r="M71" s="716"/>
      <c r="N71" s="699"/>
      <c r="O71" s="794"/>
      <c r="P71" s="607"/>
      <c r="Q71" s="641"/>
      <c r="R71" s="642"/>
      <c r="S71" s="642"/>
      <c r="T71" s="642"/>
      <c r="U71" s="642"/>
      <c r="V71" s="642"/>
      <c r="W71" s="642"/>
      <c r="X71" s="642"/>
      <c r="Y71" s="642"/>
      <c r="Z71" s="642"/>
      <c r="AA71" s="642"/>
      <c r="AB71" s="642"/>
      <c r="AC71" s="642"/>
      <c r="AD71" s="607"/>
      <c r="AV71" s="607"/>
      <c r="AW71" s="607"/>
      <c r="AX71" s="607"/>
      <c r="AY71" s="607"/>
      <c r="AZ71" s="607"/>
      <c r="BA71" s="607"/>
      <c r="BB71" s="607"/>
      <c r="BC71" s="607"/>
      <c r="BD71" s="607"/>
      <c r="BE71" s="607"/>
      <c r="BF71" s="607"/>
    </row>
    <row r="72" spans="1:58" ht="30" customHeight="1" thickBot="1" x14ac:dyDescent="0.25">
      <c r="A72" s="607"/>
      <c r="B72" s="949"/>
      <c r="C72" s="796"/>
      <c r="D72" s="797"/>
      <c r="E72" s="1050"/>
      <c r="F72" s="797"/>
      <c r="G72" s="797"/>
      <c r="H72" s="797"/>
      <c r="I72" s="797"/>
      <c r="J72" s="797"/>
      <c r="K72" s="798"/>
      <c r="L72" s="875"/>
      <c r="M72" s="716"/>
      <c r="N72" s="699"/>
      <c r="O72" s="794"/>
      <c r="P72" s="607"/>
      <c r="Q72" s="641"/>
      <c r="R72" s="642"/>
      <c r="S72" s="642"/>
      <c r="T72" s="642"/>
      <c r="U72" s="642"/>
      <c r="V72" s="642"/>
      <c r="W72" s="642"/>
      <c r="X72" s="642"/>
      <c r="Y72" s="642"/>
      <c r="Z72" s="642"/>
      <c r="AA72" s="642"/>
      <c r="AB72" s="642"/>
      <c r="AC72" s="642"/>
      <c r="AD72" s="607"/>
      <c r="AV72" s="607"/>
      <c r="AW72" s="607"/>
      <c r="AX72" s="607"/>
      <c r="AY72" s="607"/>
      <c r="AZ72" s="607"/>
      <c r="BA72" s="607"/>
      <c r="BB72" s="607"/>
      <c r="BC72" s="607"/>
      <c r="BD72" s="607"/>
      <c r="BE72" s="607"/>
      <c r="BF72" s="607"/>
    </row>
    <row r="73" spans="1:58" ht="30" customHeight="1" x14ac:dyDescent="0.2">
      <c r="A73" s="1329" t="s">
        <v>32</v>
      </c>
      <c r="B73" s="1330"/>
      <c r="C73" s="1335" t="s">
        <v>516</v>
      </c>
      <c r="D73" s="1298" t="s">
        <v>351</v>
      </c>
      <c r="E73" s="1317">
        <v>19406160802033</v>
      </c>
      <c r="F73" s="927">
        <v>15.3</v>
      </c>
      <c r="G73" s="926">
        <v>0.1</v>
      </c>
      <c r="H73" s="927">
        <v>0</v>
      </c>
      <c r="I73" s="927">
        <v>0.2</v>
      </c>
      <c r="J73" s="1308">
        <v>2</v>
      </c>
      <c r="K73" s="1289">
        <v>43266</v>
      </c>
      <c r="L73" s="1319" t="s">
        <v>517</v>
      </c>
      <c r="M73" s="716"/>
      <c r="N73" s="699"/>
      <c r="O73" s="960"/>
      <c r="P73" s="956" t="s">
        <v>3</v>
      </c>
      <c r="Q73" s="957" t="s">
        <v>505</v>
      </c>
      <c r="R73" s="957" t="s">
        <v>16</v>
      </c>
      <c r="S73" s="1275" t="s">
        <v>520</v>
      </c>
      <c r="T73" s="1278" t="s">
        <v>521</v>
      </c>
      <c r="U73" s="642"/>
      <c r="V73" s="642"/>
      <c r="W73" s="642"/>
      <c r="X73" s="642"/>
      <c r="Y73" s="642"/>
      <c r="Z73" s="642"/>
      <c r="AA73" s="642"/>
      <c r="AB73" s="642"/>
      <c r="AC73" s="642"/>
      <c r="AD73" s="607"/>
      <c r="AV73" s="607"/>
      <c r="AW73" s="607"/>
      <c r="AX73" s="607"/>
      <c r="AY73" s="607"/>
      <c r="AZ73" s="607"/>
      <c r="BA73" s="607"/>
      <c r="BB73" s="607"/>
      <c r="BC73" s="607"/>
      <c r="BD73" s="607"/>
      <c r="BE73" s="607"/>
      <c r="BF73" s="607"/>
    </row>
    <row r="74" spans="1:58" ht="30" customHeight="1" thickBot="1" x14ac:dyDescent="0.25">
      <c r="A74" s="1331"/>
      <c r="B74" s="1332"/>
      <c r="C74" s="1336"/>
      <c r="D74" s="1300"/>
      <c r="E74" s="1306"/>
      <c r="F74" s="928">
        <v>24.8</v>
      </c>
      <c r="G74" s="928">
        <v>0.1</v>
      </c>
      <c r="H74" s="930">
        <v>0</v>
      </c>
      <c r="I74" s="930">
        <v>0.2</v>
      </c>
      <c r="J74" s="1290"/>
      <c r="K74" s="1290"/>
      <c r="L74" s="1320"/>
      <c r="M74" s="716"/>
      <c r="N74" s="699"/>
      <c r="O74" s="1287" t="s">
        <v>522</v>
      </c>
      <c r="P74" s="941">
        <f>I73</f>
        <v>0.2</v>
      </c>
      <c r="Q74" s="1026">
        <f>I76</f>
        <v>1.7</v>
      </c>
      <c r="R74" s="942">
        <f>I79</f>
        <v>0.21</v>
      </c>
      <c r="S74" s="1276"/>
      <c r="T74" s="1279"/>
      <c r="U74" s="642"/>
      <c r="V74" s="642"/>
      <c r="W74" s="642"/>
      <c r="X74" s="642"/>
      <c r="Y74" s="642"/>
      <c r="Z74" s="642"/>
      <c r="AA74" s="642"/>
      <c r="AB74" s="642"/>
      <c r="AC74" s="642"/>
      <c r="AD74" s="607"/>
      <c r="AV74" s="607"/>
      <c r="AW74" s="607"/>
      <c r="AX74" s="607"/>
      <c r="AY74" s="607"/>
      <c r="AZ74" s="607"/>
      <c r="BA74" s="607"/>
      <c r="BB74" s="607"/>
      <c r="BC74" s="607"/>
      <c r="BD74" s="607"/>
      <c r="BE74" s="607"/>
      <c r="BF74" s="607"/>
    </row>
    <row r="75" spans="1:58" ht="30" customHeight="1" thickBot="1" x14ac:dyDescent="0.25">
      <c r="A75" s="1333"/>
      <c r="B75" s="1334"/>
      <c r="C75" s="1336"/>
      <c r="D75" s="1300"/>
      <c r="E75" s="1306"/>
      <c r="F75" s="928">
        <v>34.4</v>
      </c>
      <c r="G75" s="1034">
        <v>0.1</v>
      </c>
      <c r="H75" s="926">
        <v>-0.1</v>
      </c>
      <c r="I75" s="928">
        <v>0.4</v>
      </c>
      <c r="J75" s="1290"/>
      <c r="K75" s="1290"/>
      <c r="L75" s="1320"/>
      <c r="M75" s="716"/>
      <c r="N75" s="699"/>
      <c r="O75" s="1288"/>
      <c r="P75" s="943"/>
      <c r="Q75" s="944"/>
      <c r="R75" s="944"/>
      <c r="S75" s="1277"/>
      <c r="T75" s="1280"/>
      <c r="U75" s="642"/>
      <c r="V75" s="642"/>
      <c r="W75" s="642"/>
      <c r="X75" s="642"/>
      <c r="Y75" s="642"/>
      <c r="Z75" s="642"/>
      <c r="AA75" s="642"/>
      <c r="AB75" s="642"/>
      <c r="AC75" s="642"/>
      <c r="AD75" s="607"/>
      <c r="AV75" s="607"/>
      <c r="AW75" s="607"/>
      <c r="AX75" s="607"/>
      <c r="AY75" s="607"/>
      <c r="AZ75" s="607"/>
      <c r="BA75" s="607"/>
      <c r="BB75" s="607"/>
      <c r="BC75" s="607"/>
      <c r="BD75" s="607"/>
      <c r="BE75" s="607"/>
      <c r="BF75" s="607"/>
    </row>
    <row r="76" spans="1:58" ht="30" customHeight="1" x14ac:dyDescent="0.2">
      <c r="A76" s="1321" t="s">
        <v>501</v>
      </c>
      <c r="B76" s="1322"/>
      <c r="C76" s="1336"/>
      <c r="D76" s="1300"/>
      <c r="E76" s="1306"/>
      <c r="F76" s="928">
        <v>32.5</v>
      </c>
      <c r="G76" s="928">
        <v>0.1</v>
      </c>
      <c r="H76" s="928">
        <v>-2.5</v>
      </c>
      <c r="I76" s="928">
        <v>1.7</v>
      </c>
      <c r="J76" s="1296">
        <v>2</v>
      </c>
      <c r="K76" s="1327">
        <v>43266</v>
      </c>
      <c r="L76" s="1328" t="s">
        <v>518</v>
      </c>
      <c r="M76" s="716"/>
      <c r="N76" s="699"/>
      <c r="O76" s="794"/>
      <c r="P76" s="607"/>
      <c r="Q76" s="641"/>
      <c r="R76" s="642"/>
      <c r="S76" s="642"/>
      <c r="T76" s="642"/>
      <c r="U76" s="642"/>
      <c r="V76" s="642"/>
      <c r="W76" s="642"/>
      <c r="X76" s="642"/>
      <c r="Y76" s="642"/>
      <c r="Z76" s="642"/>
      <c r="AA76" s="642"/>
      <c r="AB76" s="642"/>
      <c r="AC76" s="642"/>
      <c r="AD76" s="607"/>
      <c r="AV76" s="607"/>
      <c r="AW76" s="607"/>
      <c r="AX76" s="607"/>
      <c r="AY76" s="607"/>
      <c r="AZ76" s="607"/>
      <c r="BA76" s="607"/>
      <c r="BB76" s="607"/>
      <c r="BC76" s="607"/>
      <c r="BD76" s="607"/>
      <c r="BE76" s="607"/>
      <c r="BF76" s="607"/>
    </row>
    <row r="77" spans="1:58" ht="30" customHeight="1" x14ac:dyDescent="0.2">
      <c r="A77" s="1323"/>
      <c r="B77" s="1324"/>
      <c r="C77" s="1336"/>
      <c r="D77" s="1300"/>
      <c r="E77" s="1306"/>
      <c r="F77" s="928">
        <v>50.8</v>
      </c>
      <c r="G77" s="928">
        <v>0.1</v>
      </c>
      <c r="H77" s="928">
        <v>-0.8</v>
      </c>
      <c r="I77" s="928">
        <v>1.7</v>
      </c>
      <c r="J77" s="1290">
        <v>2</v>
      </c>
      <c r="K77" s="1290"/>
      <c r="L77" s="1320"/>
      <c r="M77" s="716"/>
      <c r="N77" s="699"/>
      <c r="O77" s="794"/>
      <c r="P77" s="607"/>
      <c r="Q77" s="641"/>
      <c r="R77" s="642"/>
      <c r="S77" s="642"/>
      <c r="T77" s="642"/>
      <c r="U77" s="642"/>
      <c r="V77" s="642"/>
      <c r="W77" s="642"/>
      <c r="X77" s="642"/>
      <c r="Y77" s="642"/>
      <c r="Z77" s="642"/>
      <c r="AA77" s="642"/>
      <c r="AB77" s="642"/>
      <c r="AC77" s="642"/>
      <c r="AD77" s="607"/>
      <c r="AV77" s="607"/>
      <c r="AW77" s="607"/>
      <c r="AX77" s="607"/>
      <c r="AY77" s="607"/>
      <c r="AZ77" s="607"/>
      <c r="BA77" s="607"/>
      <c r="BB77" s="607"/>
      <c r="BC77" s="607"/>
      <c r="BD77" s="607"/>
      <c r="BE77" s="607"/>
      <c r="BF77" s="607"/>
    </row>
    <row r="78" spans="1:58" ht="30" customHeight="1" thickBot="1" x14ac:dyDescent="0.25">
      <c r="A78" s="1325"/>
      <c r="B78" s="1326"/>
      <c r="C78" s="1336"/>
      <c r="D78" s="1300"/>
      <c r="E78" s="1306"/>
      <c r="F78" s="928">
        <v>78.2</v>
      </c>
      <c r="G78" s="928">
        <v>0.1</v>
      </c>
      <c r="H78" s="928">
        <v>1.8</v>
      </c>
      <c r="I78" s="928">
        <v>1.7</v>
      </c>
      <c r="J78" s="1290"/>
      <c r="K78" s="1290"/>
      <c r="L78" s="1320"/>
      <c r="M78" s="716"/>
      <c r="N78" s="699"/>
      <c r="O78" s="794"/>
      <c r="P78" s="607"/>
      <c r="Q78" s="641"/>
      <c r="R78" s="642"/>
      <c r="S78" s="642"/>
      <c r="T78" s="642"/>
      <c r="U78" s="642"/>
      <c r="V78" s="642"/>
      <c r="W78" s="642"/>
      <c r="X78" s="642"/>
      <c r="Y78" s="642"/>
      <c r="Z78" s="642"/>
      <c r="AA78" s="642"/>
      <c r="AB78" s="642"/>
      <c r="AC78" s="642"/>
      <c r="AD78" s="607"/>
      <c r="AV78" s="607"/>
      <c r="AW78" s="607"/>
      <c r="AX78" s="607"/>
      <c r="AY78" s="607"/>
      <c r="AZ78" s="607"/>
      <c r="BA78" s="607"/>
      <c r="BB78" s="607"/>
      <c r="BC78" s="607"/>
      <c r="BD78" s="607"/>
      <c r="BE78" s="607"/>
      <c r="BF78" s="607"/>
    </row>
    <row r="79" spans="1:58" ht="30" customHeight="1" x14ac:dyDescent="0.2">
      <c r="A79" s="1321" t="s">
        <v>115</v>
      </c>
      <c r="B79" s="1322"/>
      <c r="C79" s="1336"/>
      <c r="D79" s="1300"/>
      <c r="E79" s="1306"/>
      <c r="F79" s="685">
        <v>499</v>
      </c>
      <c r="G79" s="626">
        <v>0.1</v>
      </c>
      <c r="H79" s="685">
        <v>-1</v>
      </c>
      <c r="I79" s="1311">
        <v>0.21</v>
      </c>
      <c r="J79" s="1311">
        <v>2</v>
      </c>
      <c r="K79" s="1281">
        <v>42671</v>
      </c>
      <c r="L79" s="1284" t="s">
        <v>519</v>
      </c>
      <c r="M79" s="716"/>
      <c r="N79" s="699"/>
      <c r="O79" s="794"/>
      <c r="P79" s="607"/>
      <c r="Q79" s="641"/>
      <c r="R79" s="642"/>
      <c r="S79" s="642"/>
      <c r="T79" s="642"/>
      <c r="U79" s="642"/>
      <c r="V79" s="642"/>
      <c r="W79" s="642"/>
      <c r="X79" s="642"/>
      <c r="Y79" s="642"/>
      <c r="Z79" s="642"/>
      <c r="AA79" s="642"/>
      <c r="AB79" s="642"/>
      <c r="AC79" s="642"/>
      <c r="AD79" s="607"/>
      <c r="AV79" s="607"/>
      <c r="AW79" s="607"/>
      <c r="AX79" s="607"/>
      <c r="AY79" s="607"/>
      <c r="AZ79" s="607"/>
      <c r="BA79" s="607"/>
      <c r="BB79" s="607"/>
      <c r="BC79" s="607"/>
      <c r="BD79" s="607"/>
      <c r="BE79" s="607"/>
      <c r="BF79" s="607"/>
    </row>
    <row r="80" spans="1:58" ht="30" customHeight="1" x14ac:dyDescent="0.2">
      <c r="A80" s="1323"/>
      <c r="B80" s="1324"/>
      <c r="C80" s="1336"/>
      <c r="D80" s="1300"/>
      <c r="E80" s="1306"/>
      <c r="F80" s="626">
        <v>799.8</v>
      </c>
      <c r="G80" s="626">
        <v>0.1</v>
      </c>
      <c r="H80" s="685">
        <v>-0.4</v>
      </c>
      <c r="I80" s="1282">
        <v>0.17</v>
      </c>
      <c r="J80" s="1282">
        <v>2</v>
      </c>
      <c r="K80" s="1282">
        <v>42671</v>
      </c>
      <c r="L80" s="1285" t="s">
        <v>519</v>
      </c>
      <c r="M80" s="716"/>
      <c r="N80" s="699"/>
      <c r="O80" s="794"/>
      <c r="P80" s="607"/>
      <c r="Q80" s="641"/>
      <c r="R80" s="642"/>
      <c r="S80" s="642"/>
      <c r="T80" s="642"/>
      <c r="U80" s="642"/>
      <c r="V80" s="642"/>
      <c r="W80" s="642"/>
      <c r="X80" s="642"/>
      <c r="Y80" s="642"/>
      <c r="Z80" s="642"/>
      <c r="AA80" s="642"/>
      <c r="AB80" s="642"/>
      <c r="AC80" s="642"/>
      <c r="AD80" s="607"/>
      <c r="AV80" s="607"/>
      <c r="AW80" s="607"/>
      <c r="AX80" s="607"/>
      <c r="AY80" s="607"/>
      <c r="AZ80" s="607"/>
      <c r="BA80" s="607"/>
      <c r="BB80" s="607"/>
      <c r="BC80" s="607"/>
      <c r="BD80" s="607"/>
      <c r="BE80" s="607"/>
      <c r="BF80" s="607"/>
    </row>
    <row r="81" spans="1:58" ht="30" customHeight="1" thickBot="1" x14ac:dyDescent="0.25">
      <c r="A81" s="1325"/>
      <c r="B81" s="1326"/>
      <c r="C81" s="1337"/>
      <c r="D81" s="1304"/>
      <c r="E81" s="1307"/>
      <c r="F81" s="791">
        <v>1099.9000000000001</v>
      </c>
      <c r="G81" s="791">
        <v>0.1</v>
      </c>
      <c r="H81" s="821">
        <v>-0.3</v>
      </c>
      <c r="I81" s="1283"/>
      <c r="J81" s="1283"/>
      <c r="K81" s="1283"/>
      <c r="L81" s="1286"/>
      <c r="M81" s="716"/>
      <c r="N81" s="699"/>
      <c r="O81" s="794"/>
      <c r="P81" s="607"/>
      <c r="Q81" s="641"/>
      <c r="R81" s="642"/>
      <c r="S81" s="642"/>
      <c r="T81" s="642"/>
      <c r="U81" s="642"/>
      <c r="V81" s="642"/>
      <c r="W81" s="642"/>
      <c r="X81" s="642"/>
      <c r="Y81" s="642"/>
      <c r="Z81" s="642"/>
      <c r="AA81" s="642"/>
      <c r="AB81" s="642"/>
      <c r="AC81" s="642"/>
      <c r="AD81" s="607"/>
      <c r="AV81" s="607"/>
      <c r="AW81" s="607"/>
      <c r="AX81" s="607"/>
      <c r="AY81" s="607"/>
      <c r="AZ81" s="607"/>
      <c r="BA81" s="607"/>
      <c r="BB81" s="607"/>
      <c r="BC81" s="607"/>
      <c r="BD81" s="607"/>
      <c r="BE81" s="607"/>
      <c r="BF81" s="607"/>
    </row>
    <row r="82" spans="1:58" ht="30" customHeight="1" x14ac:dyDescent="0.2">
      <c r="A82" s="607"/>
      <c r="B82" s="949"/>
      <c r="C82" s="607"/>
      <c r="D82" s="607"/>
      <c r="E82" s="607"/>
      <c r="F82" s="607"/>
      <c r="G82" s="607"/>
      <c r="H82" s="607"/>
      <c r="I82" s="607"/>
      <c r="J82" s="607"/>
      <c r="K82" s="607"/>
      <c r="L82" s="607"/>
      <c r="M82" s="716"/>
      <c r="N82" s="699"/>
      <c r="O82" s="794"/>
      <c r="P82" s="607"/>
      <c r="Q82" s="641"/>
      <c r="R82" s="642"/>
      <c r="S82" s="642"/>
      <c r="T82" s="642"/>
      <c r="U82" s="642"/>
      <c r="V82" s="642"/>
      <c r="W82" s="642"/>
      <c r="X82" s="642"/>
      <c r="Y82" s="642"/>
      <c r="Z82" s="642"/>
      <c r="AA82" s="642"/>
      <c r="AB82" s="642"/>
      <c r="AC82" s="642"/>
      <c r="AD82" s="607"/>
      <c r="AV82" s="607"/>
      <c r="AW82" s="607"/>
      <c r="AX82" s="607"/>
      <c r="AY82" s="607"/>
      <c r="AZ82" s="607"/>
      <c r="BA82" s="607"/>
      <c r="BB82" s="607"/>
      <c r="BC82" s="607"/>
      <c r="BD82" s="607"/>
      <c r="BE82" s="607"/>
      <c r="BF82" s="607"/>
    </row>
    <row r="83" spans="1:58" ht="30" customHeight="1" thickBot="1" x14ac:dyDescent="0.25">
      <c r="A83" s="607"/>
      <c r="B83" s="949"/>
      <c r="C83" s="797"/>
      <c r="D83" s="796"/>
      <c r="E83" s="1050"/>
      <c r="F83" s="797"/>
      <c r="G83" s="797"/>
      <c r="H83" s="797"/>
      <c r="I83" s="797"/>
      <c r="J83" s="797"/>
      <c r="K83" s="798"/>
      <c r="L83" s="875"/>
      <c r="M83" s="716"/>
      <c r="N83" s="699"/>
      <c r="O83" s="794"/>
      <c r="P83" s="607"/>
      <c r="Q83" s="641"/>
      <c r="R83" s="642"/>
      <c r="S83" s="642"/>
      <c r="T83" s="642"/>
      <c r="U83" s="642"/>
      <c r="V83" s="642"/>
      <c r="W83" s="642"/>
      <c r="X83" s="642"/>
      <c r="Y83" s="642"/>
      <c r="Z83" s="642"/>
      <c r="AA83" s="642"/>
      <c r="AB83" s="642"/>
      <c r="AC83" s="642"/>
      <c r="AD83" s="607"/>
      <c r="AV83" s="607"/>
      <c r="AW83" s="607"/>
      <c r="AX83" s="607"/>
      <c r="AY83" s="607"/>
      <c r="AZ83" s="607"/>
      <c r="BA83" s="607"/>
      <c r="BB83" s="607"/>
      <c r="BC83" s="607"/>
      <c r="BD83" s="607"/>
      <c r="BE83" s="607"/>
      <c r="BF83" s="607"/>
    </row>
    <row r="84" spans="1:58" ht="30" customHeight="1" x14ac:dyDescent="0.2">
      <c r="A84" s="1297" t="s">
        <v>32</v>
      </c>
      <c r="B84" s="1298"/>
      <c r="C84" s="1301" t="s">
        <v>523</v>
      </c>
      <c r="D84" s="1298" t="s">
        <v>351</v>
      </c>
      <c r="E84" s="1317" t="s">
        <v>524</v>
      </c>
      <c r="F84" s="926">
        <v>15.3</v>
      </c>
      <c r="G84" s="926">
        <v>0.1</v>
      </c>
      <c r="H84" s="927">
        <v>-0.1</v>
      </c>
      <c r="I84" s="1031">
        <v>0.2</v>
      </c>
      <c r="J84" s="1318">
        <v>2</v>
      </c>
      <c r="K84" s="1289">
        <v>43252</v>
      </c>
      <c r="L84" s="1291" t="s">
        <v>525</v>
      </c>
      <c r="M84" s="716"/>
      <c r="N84" s="699"/>
      <c r="O84" s="960"/>
      <c r="P84" s="956" t="s">
        <v>3</v>
      </c>
      <c r="Q84" s="957" t="s">
        <v>505</v>
      </c>
      <c r="R84" s="957" t="s">
        <v>16</v>
      </c>
      <c r="S84" s="1275" t="s">
        <v>528</v>
      </c>
      <c r="T84" s="1278" t="s">
        <v>529</v>
      </c>
      <c r="U84" s="642"/>
      <c r="V84" s="642"/>
      <c r="W84" s="642"/>
      <c r="X84" s="642"/>
      <c r="Y84" s="642"/>
      <c r="Z84" s="642"/>
      <c r="AA84" s="642"/>
      <c r="AB84" s="642"/>
      <c r="AC84" s="642"/>
      <c r="AD84" s="607"/>
      <c r="AV84" s="607"/>
      <c r="AW84" s="607"/>
      <c r="AX84" s="607"/>
      <c r="AY84" s="607"/>
      <c r="AZ84" s="607"/>
      <c r="BA84" s="607"/>
      <c r="BB84" s="607"/>
      <c r="BC84" s="607"/>
      <c r="BD84" s="607"/>
      <c r="BE84" s="607"/>
      <c r="BF84" s="607"/>
    </row>
    <row r="85" spans="1:58" ht="30" customHeight="1" x14ac:dyDescent="0.2">
      <c r="A85" s="1299"/>
      <c r="B85" s="1300"/>
      <c r="C85" s="1302"/>
      <c r="D85" s="1300"/>
      <c r="E85" s="1306"/>
      <c r="F85" s="928">
        <v>24.9</v>
      </c>
      <c r="G85" s="928">
        <v>0.1</v>
      </c>
      <c r="H85" s="930">
        <v>-0.1</v>
      </c>
      <c r="I85" s="1029">
        <v>0.2</v>
      </c>
      <c r="J85" s="1316"/>
      <c r="K85" s="1290"/>
      <c r="L85" s="1292"/>
      <c r="M85" s="716"/>
      <c r="N85" s="699"/>
      <c r="O85" s="1287" t="s">
        <v>530</v>
      </c>
      <c r="P85" s="962">
        <f>I84</f>
        <v>0.2</v>
      </c>
      <c r="Q85" s="1026">
        <f>I87</f>
        <v>1.7</v>
      </c>
      <c r="R85" s="942">
        <f>I90</f>
        <v>6.4000000000000001E-2</v>
      </c>
      <c r="S85" s="1276"/>
      <c r="T85" s="1279"/>
      <c r="U85" s="642"/>
      <c r="V85" s="642"/>
      <c r="W85" s="642"/>
      <c r="X85" s="642"/>
      <c r="Y85" s="642"/>
      <c r="Z85" s="642"/>
      <c r="AA85" s="642"/>
      <c r="AB85" s="642"/>
      <c r="AC85" s="642"/>
      <c r="AD85" s="607"/>
      <c r="AV85" s="607"/>
      <c r="AW85" s="607"/>
      <c r="AX85" s="607"/>
      <c r="AY85" s="607"/>
      <c r="AZ85" s="607"/>
      <c r="BA85" s="607"/>
      <c r="BB85" s="607"/>
      <c r="BC85" s="607"/>
      <c r="BD85" s="607"/>
      <c r="BE85" s="607"/>
      <c r="BF85" s="607"/>
    </row>
    <row r="86" spans="1:58" ht="30" customHeight="1" thickBot="1" x14ac:dyDescent="0.25">
      <c r="A86" s="1299"/>
      <c r="B86" s="1300"/>
      <c r="C86" s="1302"/>
      <c r="D86" s="1300"/>
      <c r="E86" s="1306"/>
      <c r="F86" s="930">
        <v>29.6</v>
      </c>
      <c r="G86" s="928">
        <v>0.1</v>
      </c>
      <c r="H86" s="930">
        <v>0</v>
      </c>
      <c r="I86" s="1030">
        <v>0.3</v>
      </c>
      <c r="J86" s="1316">
        <v>1.96</v>
      </c>
      <c r="K86" s="1290"/>
      <c r="L86" s="1293"/>
      <c r="M86" s="716"/>
      <c r="N86" s="699"/>
      <c r="O86" s="1288"/>
      <c r="P86" s="943"/>
      <c r="Q86" s="944"/>
      <c r="R86" s="944"/>
      <c r="S86" s="1277"/>
      <c r="T86" s="1280"/>
      <c r="U86" s="642"/>
      <c r="V86" s="642"/>
      <c r="W86" s="642"/>
      <c r="X86" s="642"/>
      <c r="Y86" s="642"/>
      <c r="Z86" s="642"/>
      <c r="AA86" s="642"/>
      <c r="AB86" s="642"/>
      <c r="AC86" s="642"/>
      <c r="AD86" s="607"/>
      <c r="AV86" s="607"/>
      <c r="AW86" s="607"/>
      <c r="AX86" s="607"/>
      <c r="AY86" s="607"/>
      <c r="AZ86" s="607"/>
      <c r="BA86" s="607"/>
      <c r="BB86" s="607"/>
      <c r="BC86" s="607"/>
      <c r="BD86" s="607"/>
      <c r="BE86" s="607"/>
      <c r="BF86" s="607"/>
    </row>
    <row r="87" spans="1:58" ht="30" customHeight="1" x14ac:dyDescent="0.2">
      <c r="A87" s="1294" t="s">
        <v>501</v>
      </c>
      <c r="B87" s="1295"/>
      <c r="C87" s="1302"/>
      <c r="D87" s="1300"/>
      <c r="E87" s="1306"/>
      <c r="F87" s="928">
        <v>33.4</v>
      </c>
      <c r="G87" s="928">
        <v>0.1</v>
      </c>
      <c r="H87" s="928">
        <v>-3.4</v>
      </c>
      <c r="I87" s="1027">
        <v>1.7</v>
      </c>
      <c r="J87" s="1315">
        <v>2</v>
      </c>
      <c r="K87" s="1289">
        <v>43257</v>
      </c>
      <c r="L87" s="1291" t="s">
        <v>526</v>
      </c>
      <c r="M87" s="716"/>
      <c r="N87" s="699"/>
      <c r="O87" s="794"/>
      <c r="P87" s="607"/>
      <c r="Q87" s="641"/>
      <c r="R87" s="642"/>
      <c r="S87" s="642"/>
      <c r="T87" s="642"/>
      <c r="U87" s="642"/>
      <c r="V87" s="642"/>
      <c r="W87" s="642"/>
      <c r="X87" s="642"/>
      <c r="Y87" s="642"/>
      <c r="Z87" s="642"/>
      <c r="AA87" s="642"/>
      <c r="AB87" s="642"/>
      <c r="AC87" s="642"/>
      <c r="AD87" s="607"/>
      <c r="AV87" s="607"/>
      <c r="AW87" s="607"/>
      <c r="AX87" s="607"/>
      <c r="AY87" s="607"/>
      <c r="AZ87" s="607"/>
      <c r="BA87" s="607"/>
      <c r="BB87" s="607"/>
      <c r="BC87" s="607"/>
      <c r="BD87" s="607"/>
      <c r="BE87" s="607"/>
      <c r="BF87" s="607"/>
    </row>
    <row r="88" spans="1:58" ht="30" customHeight="1" x14ac:dyDescent="0.2">
      <c r="A88" s="1294"/>
      <c r="B88" s="1295"/>
      <c r="C88" s="1302"/>
      <c r="D88" s="1300"/>
      <c r="E88" s="1306"/>
      <c r="F88" s="928">
        <v>51.3</v>
      </c>
      <c r="G88" s="928">
        <v>0.1</v>
      </c>
      <c r="H88" s="928">
        <v>-1.3</v>
      </c>
      <c r="I88" s="1026">
        <v>1.7</v>
      </c>
      <c r="J88" s="1316">
        <v>1.96</v>
      </c>
      <c r="K88" s="1290"/>
      <c r="L88" s="1292"/>
      <c r="M88" s="716"/>
      <c r="N88" s="699"/>
      <c r="O88" s="794"/>
      <c r="P88" s="607"/>
      <c r="Q88" s="641"/>
      <c r="R88" s="642"/>
      <c r="S88" s="642"/>
      <c r="T88" s="642"/>
      <c r="U88" s="642"/>
      <c r="V88" s="642"/>
      <c r="W88" s="642"/>
      <c r="X88" s="642"/>
      <c r="Y88" s="642"/>
      <c r="Z88" s="642"/>
      <c r="AA88" s="642"/>
      <c r="AB88" s="642"/>
      <c r="AC88" s="642"/>
      <c r="AD88" s="607"/>
      <c r="AV88" s="607"/>
      <c r="AW88" s="607"/>
      <c r="AX88" s="607"/>
      <c r="AY88" s="607"/>
      <c r="AZ88" s="607"/>
      <c r="BA88" s="607"/>
      <c r="BB88" s="607"/>
      <c r="BC88" s="607"/>
      <c r="BD88" s="607"/>
      <c r="BE88" s="607"/>
      <c r="BF88" s="607"/>
    </row>
    <row r="89" spans="1:58" ht="30" customHeight="1" x14ac:dyDescent="0.2">
      <c r="A89" s="1294"/>
      <c r="B89" s="1295"/>
      <c r="C89" s="1302"/>
      <c r="D89" s="1300"/>
      <c r="E89" s="1306"/>
      <c r="F89" s="928">
        <v>77.400000000000006</v>
      </c>
      <c r="G89" s="928">
        <v>0.1</v>
      </c>
      <c r="H89" s="928">
        <v>2.6</v>
      </c>
      <c r="I89" s="1026">
        <v>1.7</v>
      </c>
      <c r="J89" s="1316"/>
      <c r="K89" s="1290"/>
      <c r="L89" s="1293"/>
      <c r="M89" s="716"/>
      <c r="N89" s="699"/>
      <c r="O89" s="794"/>
      <c r="P89" s="607"/>
      <c r="Q89" s="641"/>
      <c r="R89" s="642"/>
      <c r="S89" s="642"/>
      <c r="T89" s="642"/>
      <c r="U89" s="642"/>
      <c r="V89" s="642"/>
      <c r="W89" s="642"/>
      <c r="X89" s="642"/>
      <c r="Y89" s="642"/>
      <c r="Z89" s="642"/>
      <c r="AA89" s="642"/>
      <c r="AB89" s="642"/>
      <c r="AC89" s="642"/>
      <c r="AD89" s="607"/>
      <c r="AV89" s="607"/>
      <c r="AW89" s="607"/>
      <c r="AX89" s="607"/>
      <c r="AY89" s="607"/>
      <c r="AZ89" s="607"/>
      <c r="BA89" s="607"/>
      <c r="BB89" s="607"/>
      <c r="BC89" s="607"/>
      <c r="BD89" s="607"/>
      <c r="BE89" s="607"/>
      <c r="BF89" s="607"/>
    </row>
    <row r="90" spans="1:58" ht="30" customHeight="1" x14ac:dyDescent="0.2">
      <c r="A90" s="1294" t="s">
        <v>115</v>
      </c>
      <c r="B90" s="1295"/>
      <c r="C90" s="1302"/>
      <c r="D90" s="1300"/>
      <c r="E90" s="1306"/>
      <c r="F90" s="626">
        <v>397.9</v>
      </c>
      <c r="G90" s="626">
        <v>0.1</v>
      </c>
      <c r="H90" s="626">
        <v>-1.3</v>
      </c>
      <c r="I90" s="1311">
        <v>6.4000000000000001E-2</v>
      </c>
      <c r="J90" s="1312">
        <v>2</v>
      </c>
      <c r="K90" s="1281">
        <v>42625</v>
      </c>
      <c r="L90" s="1284" t="s">
        <v>527</v>
      </c>
      <c r="M90" s="716"/>
      <c r="N90" s="699"/>
      <c r="O90" s="794"/>
      <c r="P90" s="607"/>
      <c r="Q90" s="641"/>
      <c r="R90" s="642"/>
      <c r="S90" s="642"/>
      <c r="T90" s="642"/>
      <c r="U90" s="642"/>
      <c r="V90" s="642"/>
      <c r="W90" s="642"/>
      <c r="X90" s="642"/>
      <c r="Y90" s="642"/>
      <c r="Z90" s="642"/>
      <c r="AA90" s="642"/>
      <c r="AB90" s="642"/>
      <c r="AC90" s="642"/>
      <c r="AD90" s="607"/>
      <c r="AV90" s="607"/>
      <c r="AW90" s="607"/>
      <c r="AX90" s="607"/>
      <c r="AY90" s="607"/>
      <c r="AZ90" s="607"/>
      <c r="BA90" s="607"/>
      <c r="BB90" s="607"/>
      <c r="BC90" s="607"/>
      <c r="BD90" s="607"/>
      <c r="BE90" s="607"/>
      <c r="BF90" s="607"/>
    </row>
    <row r="91" spans="1:58" ht="30" customHeight="1" x14ac:dyDescent="0.2">
      <c r="A91" s="1294"/>
      <c r="B91" s="1295"/>
      <c r="C91" s="1302"/>
      <c r="D91" s="1300"/>
      <c r="E91" s="1306"/>
      <c r="F91" s="626">
        <v>753.2</v>
      </c>
      <c r="G91" s="626">
        <v>0.1</v>
      </c>
      <c r="H91" s="961">
        <v>-0.64100000000000001</v>
      </c>
      <c r="I91" s="1282">
        <v>6.4000000000000001E-2</v>
      </c>
      <c r="J91" s="1313">
        <v>2</v>
      </c>
      <c r="K91" s="1282">
        <v>42625</v>
      </c>
      <c r="L91" s="1285" t="s">
        <v>441</v>
      </c>
      <c r="M91" s="716"/>
      <c r="N91" s="699"/>
      <c r="O91" s="794"/>
      <c r="P91" s="607"/>
      <c r="Q91" s="641"/>
      <c r="R91" s="642"/>
      <c r="S91" s="642"/>
      <c r="T91" s="642"/>
      <c r="U91" s="642"/>
      <c r="V91" s="642"/>
      <c r="W91" s="642"/>
      <c r="X91" s="642"/>
      <c r="Y91" s="642"/>
      <c r="Z91" s="642"/>
      <c r="AA91" s="642"/>
      <c r="AB91" s="642"/>
      <c r="AC91" s="642"/>
      <c r="AD91" s="607"/>
      <c r="AV91" s="607"/>
      <c r="AW91" s="607"/>
      <c r="AX91" s="607"/>
      <c r="AY91" s="607"/>
      <c r="AZ91" s="607"/>
      <c r="BA91" s="607"/>
      <c r="BB91" s="607"/>
      <c r="BC91" s="607"/>
      <c r="BD91" s="607"/>
      <c r="BE91" s="607"/>
      <c r="BF91" s="607"/>
    </row>
    <row r="92" spans="1:58" ht="30" customHeight="1" thickBot="1" x14ac:dyDescent="0.25">
      <c r="A92" s="1309"/>
      <c r="B92" s="1310"/>
      <c r="C92" s="1303"/>
      <c r="D92" s="1304"/>
      <c r="E92" s="1307"/>
      <c r="F92" s="791">
        <v>1099.3</v>
      </c>
      <c r="G92" s="791">
        <v>0.1</v>
      </c>
      <c r="H92" s="791">
        <v>-0.06</v>
      </c>
      <c r="I92" s="1283"/>
      <c r="J92" s="1314"/>
      <c r="K92" s="1283"/>
      <c r="L92" s="1286"/>
      <c r="M92" s="716"/>
      <c r="N92" s="699"/>
      <c r="O92" s="794"/>
      <c r="P92" s="607"/>
      <c r="Q92" s="641"/>
      <c r="R92" s="642"/>
      <c r="S92" s="642"/>
      <c r="T92" s="642"/>
      <c r="U92" s="642"/>
      <c r="V92" s="642"/>
      <c r="W92" s="642"/>
      <c r="X92" s="642"/>
      <c r="Y92" s="642"/>
      <c r="Z92" s="642"/>
      <c r="AA92" s="642"/>
      <c r="AB92" s="642"/>
      <c r="AC92" s="642"/>
      <c r="AD92" s="607"/>
      <c r="AV92" s="607"/>
      <c r="AW92" s="607"/>
      <c r="AX92" s="607"/>
      <c r="AY92" s="607"/>
      <c r="AZ92" s="607"/>
      <c r="BA92" s="607"/>
      <c r="BB92" s="607"/>
      <c r="BC92" s="607"/>
      <c r="BD92" s="607"/>
      <c r="BE92" s="607"/>
      <c r="BF92" s="607"/>
    </row>
    <row r="93" spans="1:58" ht="30" customHeight="1" x14ac:dyDescent="0.2">
      <c r="A93" s="607"/>
      <c r="B93" s="949"/>
      <c r="C93" s="607"/>
      <c r="D93" s="607"/>
      <c r="E93" s="607"/>
      <c r="F93" s="607"/>
      <c r="G93" s="607"/>
      <c r="H93" s="607"/>
      <c r="I93" s="607"/>
      <c r="J93" s="607"/>
      <c r="K93" s="607"/>
      <c r="L93" s="607"/>
      <c r="M93" s="716"/>
      <c r="N93" s="699"/>
      <c r="O93" s="794"/>
      <c r="P93" s="607"/>
      <c r="Q93" s="641"/>
      <c r="R93" s="642"/>
      <c r="S93" s="642"/>
      <c r="T93" s="642"/>
      <c r="U93" s="642"/>
      <c r="V93" s="642"/>
      <c r="W93" s="642"/>
      <c r="X93" s="642"/>
      <c r="Y93" s="642"/>
      <c r="Z93" s="642"/>
      <c r="AA93" s="642"/>
      <c r="AB93" s="642"/>
      <c r="AC93" s="642"/>
      <c r="AD93" s="607"/>
      <c r="AV93" s="607"/>
      <c r="AW93" s="607"/>
      <c r="AX93" s="607"/>
      <c r="AY93" s="607"/>
      <c r="AZ93" s="607"/>
      <c r="BA93" s="607"/>
      <c r="BB93" s="607"/>
      <c r="BC93" s="607"/>
      <c r="BD93" s="607"/>
      <c r="BE93" s="607"/>
      <c r="BF93" s="607"/>
    </row>
    <row r="94" spans="1:58" ht="30" customHeight="1" thickBot="1" x14ac:dyDescent="0.25">
      <c r="A94" s="607"/>
      <c r="B94" s="949"/>
      <c r="C94" s="797"/>
      <c r="D94" s="796"/>
      <c r="E94" s="1050"/>
      <c r="F94" s="797"/>
      <c r="G94" s="797"/>
      <c r="H94" s="797"/>
      <c r="I94" s="797"/>
      <c r="J94" s="797"/>
      <c r="K94" s="798"/>
      <c r="L94" s="875"/>
      <c r="M94" s="716"/>
      <c r="N94" s="699"/>
      <c r="O94" s="794"/>
      <c r="P94" s="607"/>
      <c r="Q94" s="641"/>
      <c r="R94" s="642"/>
      <c r="S94" s="642"/>
      <c r="T94" s="642"/>
      <c r="U94" s="642"/>
      <c r="V94" s="642"/>
      <c r="W94" s="642"/>
      <c r="X94" s="642"/>
      <c r="Y94" s="642"/>
      <c r="Z94" s="642"/>
      <c r="AA94" s="642"/>
      <c r="AB94" s="642"/>
      <c r="AC94" s="642"/>
      <c r="AD94" s="607"/>
      <c r="AV94" s="607"/>
      <c r="AW94" s="607"/>
      <c r="AX94" s="607"/>
      <c r="AY94" s="607"/>
      <c r="AZ94" s="607"/>
      <c r="BA94" s="607"/>
      <c r="BB94" s="607"/>
      <c r="BC94" s="607"/>
      <c r="BD94" s="607"/>
      <c r="BE94" s="607"/>
      <c r="BF94" s="607"/>
    </row>
    <row r="95" spans="1:58" ht="30" customHeight="1" thickBot="1" x14ac:dyDescent="0.25">
      <c r="A95" s="1297" t="s">
        <v>32</v>
      </c>
      <c r="B95" s="1298"/>
      <c r="C95" s="1301" t="s">
        <v>531</v>
      </c>
      <c r="D95" s="1298" t="s">
        <v>351</v>
      </c>
      <c r="E95" s="1305" t="s">
        <v>532</v>
      </c>
      <c r="F95" s="926">
        <v>15.2</v>
      </c>
      <c r="G95" s="926">
        <v>0.1</v>
      </c>
      <c r="H95" s="927">
        <v>0</v>
      </c>
      <c r="I95" s="1031">
        <v>0.2</v>
      </c>
      <c r="J95" s="1308">
        <v>2</v>
      </c>
      <c r="K95" s="1289">
        <v>43252</v>
      </c>
      <c r="L95" s="1291" t="s">
        <v>533</v>
      </c>
      <c r="M95" s="716"/>
      <c r="N95" s="699"/>
      <c r="O95" s="960"/>
      <c r="P95" s="956" t="s">
        <v>3</v>
      </c>
      <c r="Q95" s="957" t="s">
        <v>505</v>
      </c>
      <c r="R95" s="957" t="s">
        <v>16</v>
      </c>
      <c r="S95" s="1275" t="s">
        <v>538</v>
      </c>
      <c r="T95" s="1278" t="s">
        <v>539</v>
      </c>
      <c r="U95" s="642"/>
      <c r="V95" s="642"/>
      <c r="W95" s="642"/>
      <c r="X95" s="642"/>
      <c r="Y95" s="642"/>
      <c r="Z95" s="642"/>
      <c r="AA95" s="642"/>
      <c r="AB95" s="642"/>
      <c r="AC95" s="642"/>
      <c r="AD95" s="607"/>
      <c r="AV95" s="607"/>
      <c r="AW95" s="607"/>
      <c r="AX95" s="607"/>
      <c r="AY95" s="607"/>
      <c r="AZ95" s="607"/>
      <c r="BA95" s="607"/>
      <c r="BB95" s="607"/>
      <c r="BC95" s="607"/>
      <c r="BD95" s="607"/>
      <c r="BE95" s="607"/>
      <c r="BF95" s="607"/>
    </row>
    <row r="96" spans="1:58" ht="30" customHeight="1" x14ac:dyDescent="0.2">
      <c r="A96" s="1299"/>
      <c r="B96" s="1300"/>
      <c r="C96" s="1302"/>
      <c r="D96" s="1300"/>
      <c r="E96" s="1306"/>
      <c r="F96" s="930">
        <v>24.8</v>
      </c>
      <c r="G96" s="928">
        <v>0.1</v>
      </c>
      <c r="H96" s="927">
        <v>0</v>
      </c>
      <c r="I96" s="1029">
        <v>0.2</v>
      </c>
      <c r="J96" s="1290"/>
      <c r="K96" s="1290"/>
      <c r="L96" s="1292"/>
      <c r="M96" s="716"/>
      <c r="N96" s="699"/>
      <c r="O96" s="1287" t="s">
        <v>540</v>
      </c>
      <c r="P96" s="962">
        <f>I95</f>
        <v>0.2</v>
      </c>
      <c r="Q96" s="1026">
        <f>I98</f>
        <v>1.7</v>
      </c>
      <c r="R96" s="942">
        <f>I101</f>
        <v>6.4000000000000001E-2</v>
      </c>
      <c r="S96" s="1276"/>
      <c r="T96" s="1279"/>
      <c r="U96" s="642"/>
      <c r="V96" s="642"/>
      <c r="W96" s="642"/>
      <c r="X96" s="642"/>
      <c r="Y96" s="642"/>
      <c r="Z96" s="642"/>
      <c r="AA96" s="642"/>
      <c r="AB96" s="642"/>
      <c r="AC96" s="642"/>
      <c r="AD96" s="607"/>
      <c r="AV96" s="607"/>
      <c r="AW96" s="607"/>
      <c r="AX96" s="607"/>
      <c r="AY96" s="607"/>
      <c r="AZ96" s="607"/>
      <c r="BA96" s="607"/>
      <c r="BB96" s="607"/>
      <c r="BC96" s="607"/>
      <c r="BD96" s="607"/>
      <c r="BE96" s="607"/>
      <c r="BF96" s="607"/>
    </row>
    <row r="97" spans="1:58" ht="30" customHeight="1" thickBot="1" x14ac:dyDescent="0.25">
      <c r="A97" s="1299"/>
      <c r="B97" s="1300"/>
      <c r="C97" s="1302"/>
      <c r="D97" s="1300"/>
      <c r="E97" s="1306"/>
      <c r="F97" s="930">
        <v>29.6</v>
      </c>
      <c r="G97" s="928">
        <v>0.1</v>
      </c>
      <c r="H97" s="930">
        <v>0</v>
      </c>
      <c r="I97" s="1029">
        <v>0.3</v>
      </c>
      <c r="J97" s="1290"/>
      <c r="K97" s="1290"/>
      <c r="L97" s="1293"/>
      <c r="M97" s="716"/>
      <c r="N97" s="699"/>
      <c r="O97" s="1288"/>
      <c r="P97" s="943"/>
      <c r="Q97" s="944"/>
      <c r="R97" s="944"/>
      <c r="S97" s="1277"/>
      <c r="T97" s="1280"/>
      <c r="U97" s="642"/>
      <c r="V97" s="642"/>
      <c r="W97" s="642"/>
      <c r="X97" s="642"/>
      <c r="Y97" s="642"/>
      <c r="Z97" s="642"/>
      <c r="AA97" s="642"/>
      <c r="AB97" s="642"/>
      <c r="AC97" s="642"/>
      <c r="AD97" s="607"/>
      <c r="AV97" s="607"/>
      <c r="AW97" s="607"/>
      <c r="AX97" s="607"/>
      <c r="AY97" s="607"/>
      <c r="AZ97" s="607"/>
      <c r="BA97" s="607"/>
      <c r="BB97" s="607"/>
      <c r="BC97" s="607"/>
      <c r="BD97" s="607"/>
      <c r="BE97" s="607"/>
      <c r="BF97" s="607"/>
    </row>
    <row r="98" spans="1:58" ht="30" customHeight="1" x14ac:dyDescent="0.2">
      <c r="A98" s="1294" t="s">
        <v>501</v>
      </c>
      <c r="B98" s="1295"/>
      <c r="C98" s="1302"/>
      <c r="D98" s="1300"/>
      <c r="E98" s="1306"/>
      <c r="F98" s="928">
        <v>33.5</v>
      </c>
      <c r="G98" s="928">
        <v>0.1</v>
      </c>
      <c r="H98" s="928">
        <v>-3.5</v>
      </c>
      <c r="I98" s="1027">
        <v>1.7</v>
      </c>
      <c r="J98" s="1296">
        <v>2</v>
      </c>
      <c r="K98" s="1289">
        <v>43257</v>
      </c>
      <c r="L98" s="1291" t="s">
        <v>534</v>
      </c>
      <c r="M98" s="716"/>
      <c r="N98" s="699"/>
      <c r="O98" s="794"/>
      <c r="P98" s="607"/>
      <c r="Q98" s="641"/>
      <c r="R98" s="642"/>
      <c r="S98" s="642"/>
      <c r="T98" s="642"/>
      <c r="U98" s="642"/>
      <c r="V98" s="642"/>
      <c r="W98" s="642"/>
      <c r="X98" s="642"/>
      <c r="Y98" s="642"/>
      <c r="Z98" s="642"/>
      <c r="AA98" s="642"/>
      <c r="AB98" s="642"/>
      <c r="AC98" s="642"/>
      <c r="AD98" s="607"/>
      <c r="AV98" s="607"/>
      <c r="AW98" s="607"/>
      <c r="AX98" s="607"/>
      <c r="AY98" s="607"/>
      <c r="AZ98" s="607"/>
      <c r="BA98" s="607"/>
      <c r="BB98" s="607"/>
      <c r="BC98" s="607"/>
      <c r="BD98" s="607"/>
      <c r="BE98" s="607"/>
      <c r="BF98" s="607"/>
    </row>
    <row r="99" spans="1:58" ht="30" customHeight="1" x14ac:dyDescent="0.2">
      <c r="A99" s="1294"/>
      <c r="B99" s="1295"/>
      <c r="C99" s="1302"/>
      <c r="D99" s="1300"/>
      <c r="E99" s="1306"/>
      <c r="F99" s="928">
        <v>51.2</v>
      </c>
      <c r="G99" s="928">
        <v>0.1</v>
      </c>
      <c r="H99" s="928">
        <v>-1.2</v>
      </c>
      <c r="I99" s="1027">
        <v>1.7</v>
      </c>
      <c r="J99" s="1290"/>
      <c r="K99" s="1290"/>
      <c r="L99" s="1292"/>
      <c r="M99" s="716"/>
      <c r="N99" s="699"/>
      <c r="O99" s="794"/>
      <c r="P99" s="607"/>
      <c r="Q99" s="641"/>
      <c r="R99" s="642"/>
      <c r="S99" s="642"/>
      <c r="T99" s="642"/>
      <c r="U99" s="642"/>
      <c r="V99" s="642"/>
      <c r="W99" s="642"/>
      <c r="X99" s="642"/>
      <c r="Y99" s="642"/>
      <c r="Z99" s="642"/>
      <c r="AA99" s="642"/>
      <c r="AB99" s="642"/>
      <c r="AC99" s="642"/>
      <c r="AD99" s="607"/>
      <c r="AV99" s="607"/>
      <c r="AW99" s="607"/>
      <c r="AX99" s="607"/>
      <c r="AY99" s="607"/>
      <c r="AZ99" s="607"/>
      <c r="BA99" s="607"/>
      <c r="BB99" s="607"/>
      <c r="BC99" s="607"/>
      <c r="BD99" s="607"/>
      <c r="BE99" s="607"/>
      <c r="BF99" s="607"/>
    </row>
    <row r="100" spans="1:58" ht="30" customHeight="1" x14ac:dyDescent="0.2">
      <c r="A100" s="1294"/>
      <c r="B100" s="1295"/>
      <c r="C100" s="1302"/>
      <c r="D100" s="1300"/>
      <c r="E100" s="1306"/>
      <c r="F100" s="928">
        <v>77.099999999999994</v>
      </c>
      <c r="G100" s="928">
        <v>0.1</v>
      </c>
      <c r="H100" s="928">
        <v>2.9</v>
      </c>
      <c r="I100" s="1027">
        <v>1.7</v>
      </c>
      <c r="J100" s="1290"/>
      <c r="K100" s="1290"/>
      <c r="L100" s="1293"/>
      <c r="M100" s="716"/>
      <c r="N100" s="699"/>
      <c r="O100" s="794"/>
      <c r="P100" s="607"/>
      <c r="Q100" s="641"/>
      <c r="R100" s="642"/>
      <c r="S100" s="642"/>
      <c r="T100" s="642"/>
      <c r="U100" s="642"/>
      <c r="V100" s="642"/>
      <c r="W100" s="642"/>
      <c r="X100" s="642"/>
      <c r="Y100" s="642"/>
      <c r="Z100" s="642"/>
      <c r="AA100" s="642"/>
      <c r="AB100" s="642"/>
      <c r="AC100" s="642"/>
      <c r="AD100" s="607"/>
      <c r="AV100" s="607"/>
      <c r="AW100" s="607"/>
      <c r="AX100" s="607"/>
      <c r="AY100" s="607"/>
      <c r="AZ100" s="607"/>
      <c r="BA100" s="607"/>
      <c r="BB100" s="607"/>
      <c r="BC100" s="607"/>
      <c r="BD100" s="607"/>
      <c r="BE100" s="607"/>
      <c r="BF100" s="607"/>
    </row>
    <row r="101" spans="1:58" ht="30" customHeight="1" x14ac:dyDescent="0.2">
      <c r="A101" s="1294" t="s">
        <v>115</v>
      </c>
      <c r="B101" s="1295"/>
      <c r="C101" s="1302"/>
      <c r="D101" s="1300"/>
      <c r="E101" s="1306"/>
      <c r="F101" s="685">
        <v>397.9</v>
      </c>
      <c r="G101" s="626">
        <v>0.1</v>
      </c>
      <c r="H101" s="626">
        <v>-1.34</v>
      </c>
      <c r="I101" s="1311">
        <v>6.4000000000000001E-2</v>
      </c>
      <c r="J101" s="1312">
        <v>1.96</v>
      </c>
      <c r="K101" s="1281">
        <v>42625</v>
      </c>
      <c r="L101" s="1284" t="s">
        <v>535</v>
      </c>
      <c r="M101" s="716"/>
      <c r="N101" s="699"/>
      <c r="O101" s="794"/>
      <c r="P101" s="607"/>
      <c r="Q101" s="641"/>
      <c r="R101" s="642"/>
      <c r="S101" s="642"/>
      <c r="T101" s="642"/>
      <c r="U101" s="642"/>
      <c r="V101" s="642"/>
      <c r="W101" s="642"/>
      <c r="X101" s="642"/>
      <c r="Y101" s="642"/>
      <c r="Z101" s="642"/>
      <c r="AA101" s="642"/>
      <c r="AB101" s="642"/>
      <c r="AC101" s="642"/>
      <c r="AD101" s="607"/>
      <c r="AV101" s="607"/>
      <c r="AW101" s="607"/>
      <c r="AX101" s="607"/>
      <c r="AY101" s="607"/>
      <c r="AZ101" s="607"/>
      <c r="BA101" s="607"/>
      <c r="BB101" s="607"/>
      <c r="BC101" s="607"/>
      <c r="BD101" s="607"/>
      <c r="BE101" s="607"/>
      <c r="BF101" s="607"/>
    </row>
    <row r="102" spans="1:58" ht="30" customHeight="1" x14ac:dyDescent="0.2">
      <c r="A102" s="1294"/>
      <c r="B102" s="1295"/>
      <c r="C102" s="1302"/>
      <c r="D102" s="1300"/>
      <c r="E102" s="1306"/>
      <c r="F102" s="626">
        <v>753.2</v>
      </c>
      <c r="G102" s="626">
        <v>0.1</v>
      </c>
      <c r="H102" s="961">
        <v>-0.64100000000000001</v>
      </c>
      <c r="I102" s="1282">
        <v>1.7</v>
      </c>
      <c r="J102" s="1313">
        <v>1.96</v>
      </c>
      <c r="K102" s="1282">
        <v>42586</v>
      </c>
      <c r="L102" s="1285" t="s">
        <v>536</v>
      </c>
      <c r="M102" s="716"/>
      <c r="N102" s="699"/>
      <c r="O102" s="794"/>
      <c r="P102" s="607"/>
      <c r="Q102" s="641"/>
      <c r="R102" s="642"/>
      <c r="S102" s="642"/>
      <c r="T102" s="642"/>
      <c r="U102" s="642"/>
      <c r="V102" s="642"/>
      <c r="W102" s="642"/>
      <c r="X102" s="642"/>
      <c r="Y102" s="642"/>
      <c r="Z102" s="642"/>
      <c r="AA102" s="642"/>
      <c r="AB102" s="642"/>
      <c r="AC102" s="642"/>
      <c r="AD102" s="607"/>
      <c r="AV102" s="607"/>
      <c r="AW102" s="607"/>
      <c r="AX102" s="607"/>
      <c r="AY102" s="607"/>
      <c r="AZ102" s="607"/>
      <c r="BA102" s="607"/>
      <c r="BB102" s="607"/>
      <c r="BC102" s="607"/>
      <c r="BD102" s="607"/>
      <c r="BE102" s="607"/>
      <c r="BF102" s="607"/>
    </row>
    <row r="103" spans="1:58" ht="30" customHeight="1" thickBot="1" x14ac:dyDescent="0.25">
      <c r="A103" s="1309"/>
      <c r="B103" s="1310"/>
      <c r="C103" s="1303"/>
      <c r="D103" s="1304"/>
      <c r="E103" s="1307"/>
      <c r="F103" s="791">
        <v>1099.2</v>
      </c>
      <c r="G103" s="791">
        <v>0.1</v>
      </c>
      <c r="H103" s="791">
        <v>-0.54</v>
      </c>
      <c r="I103" s="1283">
        <v>6.4000000000000001E-2</v>
      </c>
      <c r="J103" s="1314">
        <v>2</v>
      </c>
      <c r="K103" s="1283">
        <v>42625</v>
      </c>
      <c r="L103" s="1286" t="s">
        <v>537</v>
      </c>
      <c r="M103" s="716"/>
      <c r="N103" s="699"/>
      <c r="O103" s="794"/>
      <c r="P103" s="607"/>
      <c r="Q103" s="641"/>
      <c r="R103" s="642"/>
      <c r="S103" s="642"/>
      <c r="T103" s="642"/>
      <c r="U103" s="642"/>
      <c r="V103" s="642"/>
      <c r="W103" s="642"/>
      <c r="X103" s="642"/>
      <c r="Y103" s="642"/>
      <c r="Z103" s="642"/>
      <c r="AA103" s="642"/>
      <c r="AB103" s="642"/>
      <c r="AC103" s="642"/>
      <c r="AD103" s="607"/>
      <c r="AV103" s="607"/>
      <c r="AW103" s="607"/>
      <c r="AX103" s="607"/>
      <c r="AY103" s="607"/>
      <c r="AZ103" s="607"/>
      <c r="BA103" s="607"/>
      <c r="BB103" s="607"/>
      <c r="BC103" s="607"/>
      <c r="BD103" s="607"/>
      <c r="BE103" s="607"/>
      <c r="BF103" s="607"/>
    </row>
    <row r="104" spans="1:58" ht="30" customHeight="1" thickBot="1" x14ac:dyDescent="0.25">
      <c r="A104" s="677"/>
      <c r="B104" s="607"/>
      <c r="C104" s="622"/>
      <c r="D104" s="622"/>
      <c r="E104" s="622"/>
      <c r="F104" s="622"/>
      <c r="G104" s="622"/>
      <c r="H104" s="622"/>
      <c r="I104" s="622"/>
      <c r="J104" s="622"/>
      <c r="K104" s="744"/>
      <c r="L104" s="622"/>
      <c r="M104" s="716"/>
      <c r="N104" s="699"/>
      <c r="O104" s="794"/>
      <c r="P104" s="607"/>
      <c r="Q104" s="641"/>
      <c r="R104" s="642"/>
      <c r="S104" s="642"/>
      <c r="T104" s="642"/>
      <c r="U104" s="642"/>
      <c r="V104" s="642"/>
      <c r="W104" s="642"/>
      <c r="X104" s="642"/>
      <c r="Y104" s="642"/>
      <c r="Z104" s="642"/>
      <c r="AA104" s="642"/>
      <c r="AB104" s="642"/>
      <c r="AC104" s="642"/>
      <c r="AD104" s="607"/>
      <c r="AV104" s="607"/>
      <c r="AW104" s="607"/>
      <c r="AX104" s="607"/>
      <c r="AY104" s="607"/>
      <c r="AZ104" s="607"/>
      <c r="BA104" s="607"/>
      <c r="BB104" s="607"/>
      <c r="BC104" s="607"/>
      <c r="BD104" s="607"/>
      <c r="BE104" s="607"/>
      <c r="BF104" s="607"/>
    </row>
    <row r="105" spans="1:58" ht="30" customHeight="1" thickBot="1" x14ac:dyDescent="0.25">
      <c r="A105" s="677"/>
      <c r="B105" s="1235" t="s">
        <v>427</v>
      </c>
      <c r="C105" s="1236"/>
      <c r="D105" s="1236"/>
      <c r="E105" s="1236"/>
      <c r="F105" s="1236"/>
      <c r="G105" s="1236"/>
      <c r="H105" s="1236"/>
      <c r="I105" s="1236"/>
      <c r="J105" s="1236"/>
      <c r="K105" s="1236"/>
      <c r="L105" s="1237"/>
      <c r="M105" s="716"/>
      <c r="N105" s="699"/>
      <c r="O105" s="794"/>
      <c r="P105" s="607"/>
      <c r="Q105" s="641"/>
      <c r="R105" s="642"/>
      <c r="S105" s="642"/>
      <c r="T105" s="642"/>
      <c r="U105" s="642"/>
      <c r="V105" s="642"/>
      <c r="W105" s="642"/>
      <c r="X105" s="642"/>
      <c r="Y105" s="642"/>
      <c r="Z105" s="642"/>
      <c r="AA105" s="642"/>
      <c r="AB105" s="642"/>
      <c r="AC105" s="642"/>
      <c r="AD105" s="607"/>
      <c r="AV105" s="607"/>
      <c r="AW105" s="607"/>
      <c r="AX105" s="607"/>
      <c r="AY105" s="607"/>
      <c r="AZ105" s="607"/>
      <c r="BA105" s="607"/>
      <c r="BB105" s="607"/>
      <c r="BC105" s="607"/>
      <c r="BD105" s="607"/>
      <c r="BE105" s="607"/>
      <c r="BF105" s="607"/>
    </row>
    <row r="106" spans="1:58" ht="60" customHeight="1" thickBot="1" x14ac:dyDescent="0.25">
      <c r="A106" s="677"/>
      <c r="B106" s="607"/>
      <c r="C106" s="745"/>
      <c r="D106" s="776" t="s">
        <v>54</v>
      </c>
      <c r="E106" s="777" t="s">
        <v>341</v>
      </c>
      <c r="F106" s="776" t="s">
        <v>340</v>
      </c>
      <c r="G106" s="776" t="s">
        <v>233</v>
      </c>
      <c r="H106" s="776" t="s">
        <v>294</v>
      </c>
      <c r="I106" s="776" t="s">
        <v>231</v>
      </c>
      <c r="J106" s="776" t="s">
        <v>295</v>
      </c>
      <c r="K106" s="778" t="s">
        <v>232</v>
      </c>
      <c r="L106" s="722" t="s">
        <v>362</v>
      </c>
      <c r="M106" s="716"/>
      <c r="N106" s="699"/>
      <c r="O106" s="794"/>
      <c r="P106" s="607"/>
      <c r="Q106" s="641"/>
      <c r="R106" s="642"/>
      <c r="S106" s="642"/>
      <c r="T106" s="642"/>
      <c r="U106" s="642"/>
      <c r="V106" s="642"/>
      <c r="W106" s="642"/>
      <c r="X106" s="642"/>
      <c r="Y106" s="642"/>
      <c r="Z106" s="642"/>
      <c r="AA106" s="642"/>
      <c r="AB106" s="642"/>
      <c r="AC106" s="642"/>
      <c r="AD106" s="607"/>
      <c r="AV106" s="607"/>
      <c r="AW106" s="607"/>
      <c r="AX106" s="607"/>
      <c r="AY106" s="607"/>
      <c r="AZ106" s="607"/>
      <c r="BA106" s="607"/>
      <c r="BB106" s="607"/>
      <c r="BC106" s="607"/>
      <c r="BD106" s="607"/>
      <c r="BE106" s="607"/>
      <c r="BF106" s="607"/>
    </row>
    <row r="107" spans="1:58" ht="30" customHeight="1" thickBot="1" x14ac:dyDescent="0.25">
      <c r="A107" s="677"/>
      <c r="B107" s="1260" t="s">
        <v>246</v>
      </c>
      <c r="C107" s="808"/>
      <c r="D107" s="809"/>
      <c r="E107" s="810"/>
      <c r="F107" s="810"/>
      <c r="G107" s="810"/>
      <c r="H107" s="810"/>
      <c r="I107" s="810"/>
      <c r="J107" s="810"/>
      <c r="K107" s="811"/>
      <c r="L107" s="698"/>
      <c r="M107" s="716"/>
      <c r="N107" s="699"/>
      <c r="O107" s="794"/>
      <c r="P107" s="607"/>
      <c r="Q107" s="641"/>
      <c r="R107" s="642"/>
      <c r="S107" s="642"/>
      <c r="T107" s="642"/>
      <c r="U107" s="642"/>
      <c r="V107" s="642"/>
      <c r="W107" s="642"/>
      <c r="X107" s="642"/>
      <c r="Y107" s="642"/>
      <c r="Z107" s="642"/>
      <c r="AA107" s="642"/>
      <c r="AB107" s="642"/>
      <c r="AC107" s="642"/>
      <c r="AD107" s="607"/>
      <c r="AV107" s="607"/>
      <c r="AW107" s="607"/>
      <c r="AX107" s="607"/>
      <c r="AY107" s="607"/>
      <c r="AZ107" s="607"/>
      <c r="BA107" s="607"/>
      <c r="BB107" s="607"/>
      <c r="BC107" s="607"/>
      <c r="BD107" s="607"/>
      <c r="BE107" s="607"/>
      <c r="BF107" s="607"/>
    </row>
    <row r="108" spans="1:58" ht="30" customHeight="1" x14ac:dyDescent="0.2">
      <c r="A108" s="677"/>
      <c r="B108" s="1261"/>
      <c r="C108" s="752" t="s">
        <v>281</v>
      </c>
      <c r="D108" s="812" t="s">
        <v>353</v>
      </c>
      <c r="E108" s="648">
        <v>107</v>
      </c>
      <c r="F108" s="784">
        <v>5.0199999999999996</v>
      </c>
      <c r="G108" s="784">
        <v>0.1</v>
      </c>
      <c r="H108" s="784">
        <v>0.02</v>
      </c>
      <c r="I108" s="813">
        <v>0.02</v>
      </c>
      <c r="J108" s="784">
        <v>2.02</v>
      </c>
      <c r="K108" s="786">
        <v>42523</v>
      </c>
      <c r="L108" s="814" t="s">
        <v>445</v>
      </c>
      <c r="M108" s="716"/>
      <c r="N108" s="699"/>
      <c r="O108" s="794"/>
      <c r="P108" s="607"/>
      <c r="Q108" s="641"/>
      <c r="R108" s="642"/>
      <c r="S108" s="642"/>
      <c r="T108" s="642"/>
      <c r="U108" s="642"/>
      <c r="V108" s="642"/>
      <c r="W108" s="642"/>
      <c r="X108" s="642"/>
      <c r="Y108" s="642"/>
      <c r="Z108" s="642"/>
      <c r="AA108" s="642"/>
      <c r="AB108" s="642"/>
      <c r="AC108" s="642"/>
      <c r="AD108" s="607"/>
      <c r="AV108" s="607"/>
      <c r="AW108" s="607"/>
      <c r="AX108" s="607"/>
      <c r="AY108" s="607"/>
      <c r="AZ108" s="607"/>
      <c r="BA108" s="607"/>
      <c r="BB108" s="607"/>
      <c r="BC108" s="607"/>
      <c r="BD108" s="607"/>
      <c r="BE108" s="607"/>
      <c r="BF108" s="607"/>
    </row>
    <row r="109" spans="1:58" ht="30" customHeight="1" x14ac:dyDescent="0.2">
      <c r="A109" s="677"/>
      <c r="B109" s="1261"/>
      <c r="C109" s="815" t="s">
        <v>282</v>
      </c>
      <c r="D109" s="816" t="s">
        <v>352</v>
      </c>
      <c r="E109" s="1028">
        <v>27760</v>
      </c>
      <c r="F109" s="626">
        <v>5.0199999999999996</v>
      </c>
      <c r="G109" s="626">
        <v>0.05</v>
      </c>
      <c r="H109" s="626">
        <v>0.02</v>
      </c>
      <c r="I109" s="626">
        <v>3.7999999999999999E-2</v>
      </c>
      <c r="J109" s="685">
        <v>2</v>
      </c>
      <c r="K109" s="627">
        <v>43027</v>
      </c>
      <c r="L109" s="817" t="s">
        <v>448</v>
      </c>
      <c r="M109" s="716"/>
      <c r="N109" s="699"/>
      <c r="O109" s="794"/>
      <c r="P109" s="607"/>
      <c r="Q109" s="641"/>
      <c r="R109" s="642"/>
      <c r="S109" s="642"/>
      <c r="T109" s="642"/>
      <c r="U109" s="642"/>
      <c r="V109" s="642"/>
      <c r="W109" s="642"/>
      <c r="X109" s="642"/>
      <c r="Y109" s="642"/>
      <c r="Z109" s="642"/>
      <c r="AA109" s="642"/>
      <c r="AB109" s="642"/>
      <c r="AC109" s="642"/>
      <c r="AD109" s="607"/>
      <c r="AV109" s="607"/>
      <c r="AW109" s="607"/>
      <c r="AX109" s="607"/>
      <c r="AY109" s="607"/>
      <c r="AZ109" s="607"/>
      <c r="BA109" s="607"/>
      <c r="BB109" s="607"/>
      <c r="BC109" s="607"/>
      <c r="BD109" s="607"/>
      <c r="BE109" s="607"/>
      <c r="BF109" s="607"/>
    </row>
    <row r="110" spans="1:58" ht="30" customHeight="1" x14ac:dyDescent="0.2">
      <c r="A110" s="677"/>
      <c r="B110" s="1261"/>
      <c r="C110" s="815" t="s">
        <v>283</v>
      </c>
      <c r="D110" s="816" t="s">
        <v>354</v>
      </c>
      <c r="E110" s="1028">
        <v>713</v>
      </c>
      <c r="F110" s="626">
        <v>10.039999999999999</v>
      </c>
      <c r="G110" s="626">
        <v>0.1</v>
      </c>
      <c r="H110" s="626">
        <v>0.04</v>
      </c>
      <c r="I110" s="626">
        <v>1.9E-2</v>
      </c>
      <c r="J110" s="626">
        <v>2.02</v>
      </c>
      <c r="K110" s="627">
        <v>42523</v>
      </c>
      <c r="L110" s="817" t="s">
        <v>446</v>
      </c>
      <c r="M110" s="716"/>
      <c r="N110" s="699"/>
      <c r="O110" s="794"/>
      <c r="P110" s="607"/>
      <c r="Q110" s="641"/>
      <c r="R110" s="642"/>
      <c r="S110" s="642"/>
      <c r="T110" s="642"/>
      <c r="U110" s="642"/>
      <c r="V110" s="642"/>
      <c r="W110" s="642"/>
      <c r="X110" s="642"/>
      <c r="Y110" s="642"/>
      <c r="Z110" s="642"/>
      <c r="AA110" s="642"/>
      <c r="AB110" s="642"/>
      <c r="AC110" s="642"/>
      <c r="AD110" s="607"/>
      <c r="AV110" s="607"/>
      <c r="AW110" s="607"/>
      <c r="AX110" s="607"/>
      <c r="AY110" s="607"/>
      <c r="AZ110" s="607"/>
      <c r="BA110" s="607"/>
      <c r="BB110" s="607"/>
      <c r="BC110" s="607"/>
      <c r="BD110" s="607"/>
      <c r="BE110" s="607"/>
      <c r="BF110" s="607"/>
    </row>
    <row r="111" spans="1:58" ht="30" customHeight="1" x14ac:dyDescent="0.2">
      <c r="A111" s="677"/>
      <c r="B111" s="1261"/>
      <c r="C111" s="815" t="s">
        <v>284</v>
      </c>
      <c r="D111" s="816" t="s">
        <v>352</v>
      </c>
      <c r="E111" s="1028">
        <v>27761</v>
      </c>
      <c r="F111" s="626">
        <v>10.02</v>
      </c>
      <c r="G111" s="626">
        <v>0.1</v>
      </c>
      <c r="H111" s="626">
        <v>0.02</v>
      </c>
      <c r="I111" s="626">
        <v>6.7000000000000004E-2</v>
      </c>
      <c r="J111" s="685">
        <v>2</v>
      </c>
      <c r="K111" s="627">
        <v>43020</v>
      </c>
      <c r="L111" s="817" t="s">
        <v>449</v>
      </c>
      <c r="M111" s="716"/>
      <c r="N111" s="699"/>
      <c r="O111" s="794"/>
      <c r="P111" s="607"/>
      <c r="Q111" s="641"/>
      <c r="R111" s="642"/>
      <c r="S111" s="642"/>
      <c r="T111" s="642"/>
      <c r="U111" s="642"/>
      <c r="V111" s="642"/>
      <c r="W111" s="642"/>
      <c r="X111" s="642"/>
      <c r="Y111" s="642"/>
      <c r="Z111" s="642"/>
      <c r="AA111" s="642"/>
      <c r="AB111" s="642"/>
      <c r="AC111" s="642"/>
      <c r="AD111" s="607"/>
      <c r="AV111" s="607"/>
      <c r="AW111" s="607"/>
      <c r="AX111" s="607"/>
      <c r="AY111" s="607"/>
      <c r="AZ111" s="607"/>
      <c r="BA111" s="607"/>
      <c r="BB111" s="607"/>
      <c r="BC111" s="607"/>
      <c r="BD111" s="607"/>
      <c r="BE111" s="607"/>
      <c r="BF111" s="607"/>
    </row>
    <row r="112" spans="1:58" ht="30" customHeight="1" thickBot="1" x14ac:dyDescent="0.25">
      <c r="A112" s="677"/>
      <c r="B112" s="1262"/>
      <c r="C112" s="818" t="s">
        <v>285</v>
      </c>
      <c r="D112" s="819" t="s">
        <v>352</v>
      </c>
      <c r="E112" s="820">
        <v>27762</v>
      </c>
      <c r="F112" s="791">
        <v>24.9</v>
      </c>
      <c r="G112" s="791">
        <v>0.1</v>
      </c>
      <c r="H112" s="791">
        <v>-0.1</v>
      </c>
      <c r="I112" s="791">
        <v>6.5000000000000002E-2</v>
      </c>
      <c r="J112" s="821">
        <v>2</v>
      </c>
      <c r="K112" s="792">
        <v>43025</v>
      </c>
      <c r="L112" s="822" t="s">
        <v>450</v>
      </c>
      <c r="M112" s="716"/>
      <c r="N112" s="699"/>
      <c r="O112" s="794"/>
      <c r="P112" s="607"/>
      <c r="Q112" s="641"/>
      <c r="R112" s="642"/>
      <c r="S112" s="642"/>
      <c r="T112" s="642"/>
      <c r="U112" s="642"/>
      <c r="V112" s="642"/>
      <c r="W112" s="642"/>
      <c r="X112" s="642"/>
      <c r="Y112" s="642"/>
      <c r="Z112" s="642"/>
      <c r="AA112" s="642"/>
      <c r="AB112" s="642"/>
      <c r="AC112" s="642"/>
      <c r="AD112" s="607"/>
      <c r="AV112" s="607"/>
      <c r="AW112" s="607"/>
      <c r="AX112" s="607"/>
      <c r="AY112" s="607"/>
      <c r="AZ112" s="607"/>
      <c r="BA112" s="607"/>
      <c r="BB112" s="607"/>
      <c r="BC112" s="607"/>
      <c r="BD112" s="607"/>
      <c r="BE112" s="607"/>
      <c r="BF112" s="607"/>
    </row>
    <row r="113" spans="1:58" ht="30" customHeight="1" thickBot="1" x14ac:dyDescent="0.25">
      <c r="A113" s="677"/>
      <c r="B113" s="607"/>
      <c r="C113" s="622"/>
      <c r="D113" s="622"/>
      <c r="E113" s="622"/>
      <c r="F113" s="622"/>
      <c r="G113" s="622"/>
      <c r="H113" s="622"/>
      <c r="I113" s="622"/>
      <c r="J113" s="622"/>
      <c r="K113" s="744"/>
      <c r="L113" s="622"/>
      <c r="M113" s="716"/>
      <c r="N113" s="699"/>
      <c r="O113" s="794"/>
      <c r="P113" s="607"/>
      <c r="Q113" s="641"/>
      <c r="R113" s="642"/>
      <c r="S113" s="642"/>
      <c r="T113" s="642"/>
      <c r="U113" s="642"/>
      <c r="V113" s="642"/>
      <c r="W113" s="642"/>
      <c r="X113" s="642"/>
      <c r="Y113" s="642"/>
      <c r="Z113" s="642"/>
      <c r="AA113" s="642"/>
      <c r="AB113" s="642"/>
      <c r="AC113" s="642"/>
      <c r="AD113" s="607"/>
      <c r="AV113" s="607"/>
      <c r="AW113" s="607"/>
      <c r="AX113" s="607"/>
      <c r="AY113" s="607"/>
      <c r="AZ113" s="607"/>
      <c r="BA113" s="607"/>
      <c r="BB113" s="607"/>
      <c r="BC113" s="607"/>
      <c r="BD113" s="607"/>
      <c r="BE113" s="607"/>
      <c r="BF113" s="607"/>
    </row>
    <row r="114" spans="1:58" ht="30" customHeight="1" thickBot="1" x14ac:dyDescent="0.25">
      <c r="A114" s="677"/>
      <c r="B114" s="1235" t="s">
        <v>427</v>
      </c>
      <c r="C114" s="1236"/>
      <c r="D114" s="1236"/>
      <c r="E114" s="1236"/>
      <c r="F114" s="1236"/>
      <c r="G114" s="1236"/>
      <c r="H114" s="1236"/>
      <c r="I114" s="1236"/>
      <c r="J114" s="1236"/>
      <c r="K114" s="1236"/>
      <c r="L114" s="1237"/>
      <c r="M114" s="716"/>
      <c r="N114" s="699"/>
      <c r="O114" s="794"/>
      <c r="P114" s="607"/>
      <c r="Q114" s="641"/>
      <c r="R114" s="642"/>
      <c r="S114" s="642"/>
      <c r="T114" s="642"/>
      <c r="U114" s="642"/>
      <c r="V114" s="642"/>
      <c r="W114" s="642"/>
      <c r="X114" s="642"/>
      <c r="Y114" s="642"/>
      <c r="Z114" s="642"/>
      <c r="AA114" s="642"/>
      <c r="AB114" s="642"/>
      <c r="AC114" s="642"/>
      <c r="AD114" s="607"/>
      <c r="AV114" s="607"/>
      <c r="AW114" s="607"/>
      <c r="AX114" s="607"/>
      <c r="AY114" s="607"/>
      <c r="AZ114" s="607"/>
      <c r="BA114" s="607"/>
      <c r="BB114" s="607"/>
      <c r="BC114" s="607"/>
      <c r="BD114" s="607"/>
      <c r="BE114" s="607"/>
      <c r="BF114" s="607"/>
    </row>
    <row r="115" spans="1:58" ht="60" customHeight="1" thickBot="1" x14ac:dyDescent="0.25">
      <c r="A115" s="677"/>
      <c r="B115" s="607"/>
      <c r="C115" s="745"/>
      <c r="D115" s="776" t="s">
        <v>54</v>
      </c>
      <c r="E115" s="777" t="s">
        <v>339</v>
      </c>
      <c r="F115" s="776" t="s">
        <v>340</v>
      </c>
      <c r="G115" s="776" t="s">
        <v>233</v>
      </c>
      <c r="H115" s="776" t="s">
        <v>294</v>
      </c>
      <c r="I115" s="776" t="s">
        <v>231</v>
      </c>
      <c r="J115" s="776" t="s">
        <v>295</v>
      </c>
      <c r="K115" s="778" t="s">
        <v>232</v>
      </c>
      <c r="L115" s="722" t="s">
        <v>362</v>
      </c>
      <c r="M115" s="716"/>
      <c r="N115" s="699"/>
      <c r="O115" s="794"/>
      <c r="P115" s="607"/>
      <c r="Q115" s="641"/>
      <c r="R115" s="642"/>
      <c r="S115" s="642"/>
      <c r="T115" s="642"/>
      <c r="U115" s="642"/>
      <c r="V115" s="642"/>
      <c r="W115" s="642"/>
      <c r="X115" s="642"/>
      <c r="Y115" s="642"/>
      <c r="Z115" s="642"/>
      <c r="AA115" s="642"/>
      <c r="AB115" s="642"/>
      <c r="AC115" s="642"/>
      <c r="AD115" s="607"/>
      <c r="AV115" s="607"/>
      <c r="AW115" s="607"/>
      <c r="AX115" s="607"/>
      <c r="AY115" s="607"/>
      <c r="AZ115" s="607"/>
      <c r="BA115" s="607"/>
      <c r="BB115" s="607"/>
      <c r="BC115" s="607"/>
      <c r="BD115" s="607"/>
      <c r="BE115" s="607"/>
      <c r="BF115" s="607"/>
    </row>
    <row r="116" spans="1:58" ht="30" customHeight="1" thickBot="1" x14ac:dyDescent="0.25">
      <c r="A116" s="677"/>
      <c r="B116" s="1263" t="s">
        <v>247</v>
      </c>
      <c r="C116" s="808"/>
      <c r="D116" s="823"/>
      <c r="E116" s="743"/>
      <c r="F116" s="743"/>
      <c r="G116" s="743"/>
      <c r="H116" s="743"/>
      <c r="I116" s="743"/>
      <c r="J116" s="743"/>
      <c r="K116" s="824"/>
      <c r="L116" s="698"/>
      <c r="M116" s="716"/>
      <c r="N116" s="699"/>
      <c r="O116" s="794"/>
      <c r="P116" s="607"/>
      <c r="Q116" s="641"/>
      <c r="R116" s="642"/>
      <c r="S116" s="642"/>
      <c r="T116" s="642"/>
      <c r="U116" s="642"/>
      <c r="V116" s="642"/>
      <c r="W116" s="642"/>
      <c r="X116" s="642"/>
      <c r="Y116" s="642"/>
      <c r="Z116" s="642"/>
      <c r="AA116" s="642"/>
      <c r="AB116" s="642"/>
      <c r="AC116" s="642"/>
      <c r="AD116" s="607"/>
      <c r="AV116" s="607"/>
      <c r="AW116" s="607"/>
      <c r="AX116" s="607"/>
      <c r="AY116" s="607"/>
      <c r="AZ116" s="607"/>
      <c r="BA116" s="607"/>
      <c r="BB116" s="607"/>
      <c r="BC116" s="607"/>
      <c r="BD116" s="607"/>
      <c r="BE116" s="607"/>
      <c r="BF116" s="607"/>
    </row>
    <row r="117" spans="1:58" ht="30" customHeight="1" x14ac:dyDescent="0.2">
      <c r="A117" s="677"/>
      <c r="B117" s="1261"/>
      <c r="C117" s="752" t="s">
        <v>286</v>
      </c>
      <c r="D117" s="812" t="s">
        <v>355</v>
      </c>
      <c r="E117" s="648" t="s">
        <v>451</v>
      </c>
      <c r="F117" s="784" t="s">
        <v>253</v>
      </c>
      <c r="G117" s="785">
        <v>1</v>
      </c>
      <c r="H117" s="784">
        <v>0.27</v>
      </c>
      <c r="I117" s="825">
        <v>0.17</v>
      </c>
      <c r="J117" s="825">
        <v>2.1</v>
      </c>
      <c r="K117" s="786">
        <v>42523</v>
      </c>
      <c r="L117" s="814" t="s">
        <v>447</v>
      </c>
      <c r="M117" s="716"/>
      <c r="N117" s="699"/>
      <c r="O117" s="794"/>
      <c r="P117" s="607"/>
      <c r="Q117" s="641"/>
      <c r="R117" s="642"/>
      <c r="S117" s="642"/>
      <c r="T117" s="642"/>
      <c r="U117" s="642"/>
      <c r="V117" s="642"/>
      <c r="W117" s="642"/>
      <c r="X117" s="642"/>
      <c r="Y117" s="642"/>
      <c r="Z117" s="642"/>
      <c r="AA117" s="642"/>
      <c r="AB117" s="642"/>
      <c r="AC117" s="642"/>
      <c r="AD117" s="607"/>
      <c r="AV117" s="607"/>
      <c r="AW117" s="607"/>
      <c r="AX117" s="607"/>
      <c r="AY117" s="607"/>
      <c r="AZ117" s="607"/>
      <c r="BA117" s="607"/>
      <c r="BB117" s="607"/>
      <c r="BC117" s="607"/>
      <c r="BD117" s="607"/>
      <c r="BE117" s="607"/>
      <c r="BF117" s="607"/>
    </row>
    <row r="118" spans="1:58" ht="30" customHeight="1" x14ac:dyDescent="0.2">
      <c r="A118" s="677"/>
      <c r="B118" s="1261"/>
      <c r="C118" s="815" t="s">
        <v>287</v>
      </c>
      <c r="D118" s="816" t="s">
        <v>352</v>
      </c>
      <c r="E118" s="1028">
        <v>27755</v>
      </c>
      <c r="F118" s="626">
        <v>499.68</v>
      </c>
      <c r="G118" s="685">
        <v>5</v>
      </c>
      <c r="H118" s="626">
        <v>-0.32</v>
      </c>
      <c r="I118" s="626">
        <v>2.9</v>
      </c>
      <c r="J118" s="685">
        <v>2</v>
      </c>
      <c r="K118" s="627">
        <v>43010</v>
      </c>
      <c r="L118" s="826" t="s">
        <v>452</v>
      </c>
      <c r="M118" s="716"/>
      <c r="N118" s="699"/>
      <c r="O118" s="794"/>
      <c r="P118" s="607"/>
      <c r="Q118" s="641"/>
      <c r="R118" s="642"/>
      <c r="S118" s="642"/>
      <c r="T118" s="642"/>
      <c r="U118" s="642"/>
      <c r="V118" s="642"/>
      <c r="W118" s="642"/>
      <c r="X118" s="642"/>
      <c r="Y118" s="642"/>
      <c r="Z118" s="642"/>
      <c r="AA118" s="642"/>
      <c r="AB118" s="642"/>
      <c r="AC118" s="642"/>
      <c r="AD118" s="607"/>
      <c r="AV118" s="607"/>
      <c r="AW118" s="607"/>
      <c r="AX118" s="607"/>
      <c r="AY118" s="607"/>
      <c r="AZ118" s="607"/>
      <c r="BA118" s="607"/>
      <c r="BB118" s="607"/>
      <c r="BC118" s="607"/>
      <c r="BD118" s="607"/>
      <c r="BE118" s="607"/>
      <c r="BF118" s="607"/>
    </row>
    <row r="119" spans="1:58" ht="30" customHeight="1" x14ac:dyDescent="0.2">
      <c r="A119" s="677"/>
      <c r="B119" s="1261"/>
      <c r="C119" s="815" t="s">
        <v>288</v>
      </c>
      <c r="D119" s="816" t="s">
        <v>352</v>
      </c>
      <c r="E119" s="626">
        <v>27756</v>
      </c>
      <c r="F119" s="626">
        <v>500.25</v>
      </c>
      <c r="G119" s="685">
        <v>5</v>
      </c>
      <c r="H119" s="626">
        <v>0.25</v>
      </c>
      <c r="I119" s="626">
        <v>2.9</v>
      </c>
      <c r="J119" s="685">
        <v>2</v>
      </c>
      <c r="K119" s="627">
        <v>43011</v>
      </c>
      <c r="L119" s="826" t="s">
        <v>453</v>
      </c>
      <c r="M119" s="716"/>
      <c r="N119" s="699"/>
      <c r="O119" s="794"/>
      <c r="P119" s="607"/>
      <c r="Q119" s="641"/>
      <c r="R119" s="642"/>
      <c r="S119" s="642"/>
      <c r="T119" s="642"/>
      <c r="U119" s="642"/>
      <c r="V119" s="642"/>
      <c r="W119" s="642"/>
      <c r="X119" s="642"/>
      <c r="Y119" s="642"/>
      <c r="Z119" s="642"/>
      <c r="AA119" s="642"/>
      <c r="AB119" s="642"/>
      <c r="AC119" s="642"/>
      <c r="AD119" s="607"/>
      <c r="AV119" s="607"/>
      <c r="AW119" s="607"/>
      <c r="AX119" s="607"/>
      <c r="AY119" s="607"/>
      <c r="AZ119" s="607"/>
      <c r="BA119" s="607"/>
      <c r="BB119" s="607"/>
      <c r="BC119" s="607"/>
      <c r="BD119" s="607"/>
      <c r="BE119" s="607"/>
      <c r="BF119" s="607"/>
    </row>
    <row r="120" spans="1:58" ht="30" customHeight="1" x14ac:dyDescent="0.2">
      <c r="A120" s="677"/>
      <c r="B120" s="1261"/>
      <c r="C120" s="815" t="s">
        <v>289</v>
      </c>
      <c r="D120" s="816" t="s">
        <v>352</v>
      </c>
      <c r="E120" s="626">
        <v>27757</v>
      </c>
      <c r="F120" s="626">
        <v>500.46</v>
      </c>
      <c r="G120" s="685">
        <v>5</v>
      </c>
      <c r="H120" s="626">
        <v>0.46</v>
      </c>
      <c r="I120" s="626">
        <v>2.9</v>
      </c>
      <c r="J120" s="685">
        <v>2</v>
      </c>
      <c r="K120" s="627">
        <v>43017</v>
      </c>
      <c r="L120" s="826" t="s">
        <v>454</v>
      </c>
      <c r="M120" s="716"/>
      <c r="N120" s="699"/>
      <c r="O120" s="794"/>
      <c r="P120" s="607"/>
      <c r="Q120" s="641"/>
      <c r="R120" s="642"/>
      <c r="S120" s="642"/>
      <c r="T120" s="642"/>
      <c r="U120" s="642"/>
      <c r="V120" s="642"/>
      <c r="W120" s="642"/>
      <c r="X120" s="642"/>
      <c r="Y120" s="642"/>
      <c r="Z120" s="642"/>
      <c r="AA120" s="642"/>
      <c r="AB120" s="642"/>
      <c r="AC120" s="642"/>
      <c r="AD120" s="607"/>
      <c r="AV120" s="607"/>
      <c r="AW120" s="607"/>
      <c r="AX120" s="607"/>
      <c r="AY120" s="607"/>
      <c r="AZ120" s="607"/>
      <c r="BA120" s="607"/>
      <c r="BB120" s="607"/>
      <c r="BC120" s="607"/>
      <c r="BD120" s="607"/>
      <c r="BE120" s="607"/>
      <c r="BF120" s="607"/>
    </row>
    <row r="121" spans="1:58" ht="30" customHeight="1" x14ac:dyDescent="0.2">
      <c r="A121" s="677"/>
      <c r="B121" s="1261"/>
      <c r="C121" s="815" t="s">
        <v>290</v>
      </c>
      <c r="D121" s="816" t="s">
        <v>352</v>
      </c>
      <c r="E121" s="626">
        <v>27758</v>
      </c>
      <c r="F121" s="626">
        <v>500.34800000000001</v>
      </c>
      <c r="G121" s="685">
        <v>5</v>
      </c>
      <c r="H121" s="626">
        <v>0.34799999999999998</v>
      </c>
      <c r="I121" s="626">
        <v>3.5000000000000003E-2</v>
      </c>
      <c r="J121" s="626">
        <v>2</v>
      </c>
      <c r="K121" s="627">
        <v>42769</v>
      </c>
      <c r="L121" s="826" t="s">
        <v>455</v>
      </c>
      <c r="M121" s="716"/>
      <c r="N121" s="699"/>
      <c r="O121" s="794"/>
      <c r="P121" s="607"/>
      <c r="Q121" s="641"/>
      <c r="R121" s="642"/>
      <c r="S121" s="642"/>
      <c r="T121" s="642"/>
      <c r="U121" s="642"/>
      <c r="V121" s="642"/>
      <c r="W121" s="642"/>
      <c r="X121" s="642"/>
      <c r="Y121" s="642"/>
      <c r="Z121" s="642"/>
      <c r="AA121" s="642"/>
      <c r="AB121" s="642"/>
      <c r="AC121" s="642"/>
      <c r="AD121" s="607"/>
      <c r="AV121" s="607"/>
      <c r="AW121" s="607"/>
      <c r="AX121" s="607"/>
      <c r="AY121" s="607"/>
      <c r="AZ121" s="607"/>
      <c r="BA121" s="607"/>
      <c r="BB121" s="607"/>
      <c r="BC121" s="607"/>
      <c r="BD121" s="607"/>
      <c r="BE121" s="607"/>
      <c r="BF121" s="607"/>
    </row>
    <row r="122" spans="1:58" ht="30" customHeight="1" thickBot="1" x14ac:dyDescent="0.25">
      <c r="A122" s="677"/>
      <c r="B122" s="1262"/>
      <c r="C122" s="818" t="s">
        <v>291</v>
      </c>
      <c r="D122" s="819" t="s">
        <v>352</v>
      </c>
      <c r="E122" s="791">
        <v>27759</v>
      </c>
      <c r="F122" s="791">
        <v>1000.625</v>
      </c>
      <c r="G122" s="821">
        <v>10</v>
      </c>
      <c r="H122" s="791">
        <v>0.625</v>
      </c>
      <c r="I122" s="791">
        <v>3.9E-2</v>
      </c>
      <c r="J122" s="791">
        <v>2</v>
      </c>
      <c r="K122" s="792">
        <v>42769</v>
      </c>
      <c r="L122" s="827" t="s">
        <v>456</v>
      </c>
      <c r="M122" s="716"/>
      <c r="N122" s="699"/>
      <c r="O122" s="794"/>
      <c r="P122" s="607"/>
      <c r="Q122" s="641"/>
      <c r="R122" s="642"/>
      <c r="S122" s="642"/>
      <c r="T122" s="642"/>
      <c r="U122" s="642"/>
      <c r="V122" s="642"/>
      <c r="W122" s="642"/>
      <c r="X122" s="642"/>
      <c r="Y122" s="642"/>
      <c r="Z122" s="642"/>
      <c r="AA122" s="642"/>
      <c r="AB122" s="642"/>
      <c r="AC122" s="642"/>
      <c r="AD122" s="607"/>
      <c r="AV122" s="607"/>
      <c r="AW122" s="607"/>
      <c r="AX122" s="607"/>
      <c r="AY122" s="607"/>
      <c r="AZ122" s="607"/>
      <c r="BA122" s="607"/>
      <c r="BB122" s="607"/>
      <c r="BC122" s="607"/>
      <c r="BD122" s="607"/>
      <c r="BE122" s="607"/>
      <c r="BF122" s="607"/>
    </row>
    <row r="123" spans="1:58" ht="30" customHeight="1" thickBot="1" x14ac:dyDescent="0.25">
      <c r="A123" s="677"/>
      <c r="B123" s="607"/>
      <c r="C123" s="622"/>
      <c r="D123" s="622"/>
      <c r="E123" s="622"/>
      <c r="F123" s="622"/>
      <c r="G123" s="622"/>
      <c r="H123" s="622"/>
      <c r="I123" s="622"/>
      <c r="J123" s="622"/>
      <c r="K123" s="744"/>
      <c r="L123" s="622"/>
      <c r="M123" s="716"/>
      <c r="N123" s="699"/>
      <c r="O123" s="794"/>
      <c r="P123" s="607"/>
      <c r="Q123" s="641"/>
      <c r="R123" s="642"/>
      <c r="S123" s="642"/>
      <c r="T123" s="642"/>
      <c r="U123" s="642"/>
      <c r="V123" s="642"/>
      <c r="W123" s="642"/>
      <c r="X123" s="642"/>
      <c r="Y123" s="642"/>
      <c r="Z123" s="642"/>
      <c r="AA123" s="642"/>
      <c r="AB123" s="642"/>
      <c r="AC123" s="642"/>
      <c r="AD123" s="607"/>
      <c r="AV123" s="607"/>
      <c r="AW123" s="607"/>
      <c r="AX123" s="607"/>
      <c r="AY123" s="607"/>
      <c r="AZ123" s="607"/>
      <c r="BA123" s="607"/>
      <c r="BB123" s="607"/>
      <c r="BC123" s="607"/>
      <c r="BD123" s="607"/>
      <c r="BE123" s="607"/>
      <c r="BF123" s="607"/>
    </row>
    <row r="124" spans="1:58" ht="30" customHeight="1" thickBot="1" x14ac:dyDescent="0.25">
      <c r="A124" s="677"/>
      <c r="B124" s="1235" t="s">
        <v>259</v>
      </c>
      <c r="C124" s="1236"/>
      <c r="D124" s="1236"/>
      <c r="E124" s="1236"/>
      <c r="F124" s="1236"/>
      <c r="G124" s="1236"/>
      <c r="H124" s="1236"/>
      <c r="I124" s="1236"/>
      <c r="J124" s="1236"/>
      <c r="K124" s="1236"/>
      <c r="L124" s="1237"/>
      <c r="M124" s="716"/>
      <c r="N124" s="699"/>
      <c r="O124" s="794"/>
      <c r="P124" s="607"/>
      <c r="Q124" s="641"/>
      <c r="R124" s="642"/>
      <c r="S124" s="642"/>
      <c r="T124" s="642"/>
      <c r="U124" s="642"/>
      <c r="V124" s="642"/>
      <c r="W124" s="642"/>
      <c r="X124" s="642"/>
      <c r="Y124" s="642"/>
      <c r="Z124" s="642"/>
      <c r="AA124" s="642"/>
      <c r="AB124" s="642"/>
      <c r="AC124" s="642"/>
      <c r="AD124" s="607"/>
      <c r="AV124" s="607"/>
      <c r="AW124" s="607"/>
      <c r="AX124" s="607"/>
      <c r="AY124" s="607"/>
      <c r="AZ124" s="607"/>
      <c r="BA124" s="607"/>
      <c r="BB124" s="607"/>
      <c r="BC124" s="607"/>
      <c r="BD124" s="607"/>
      <c r="BE124" s="607"/>
      <c r="BF124" s="607"/>
    </row>
    <row r="125" spans="1:58" ht="60" customHeight="1" thickBot="1" x14ac:dyDescent="0.25">
      <c r="A125" s="677"/>
      <c r="B125" s="1247" t="s">
        <v>248</v>
      </c>
      <c r="C125" s="745"/>
      <c r="D125" s="776" t="s">
        <v>54</v>
      </c>
      <c r="E125" s="777" t="s">
        <v>341</v>
      </c>
      <c r="F125" s="776" t="s">
        <v>340</v>
      </c>
      <c r="G125" s="776" t="s">
        <v>233</v>
      </c>
      <c r="H125" s="776" t="s">
        <v>294</v>
      </c>
      <c r="I125" s="776" t="s">
        <v>231</v>
      </c>
      <c r="J125" s="776" t="s">
        <v>295</v>
      </c>
      <c r="K125" s="778" t="s">
        <v>232</v>
      </c>
      <c r="L125" s="722" t="s">
        <v>362</v>
      </c>
      <c r="M125" s="716"/>
      <c r="N125" s="699"/>
      <c r="O125" s="794"/>
      <c r="P125" s="607"/>
      <c r="Q125" s="641"/>
      <c r="R125" s="642"/>
      <c r="S125" s="642"/>
      <c r="T125" s="642"/>
      <c r="U125" s="642"/>
      <c r="V125" s="642"/>
      <c r="W125" s="642"/>
      <c r="X125" s="642"/>
      <c r="Y125" s="642"/>
      <c r="Z125" s="642"/>
      <c r="AA125" s="642"/>
      <c r="AB125" s="642"/>
      <c r="AC125" s="642"/>
      <c r="AD125" s="607"/>
      <c r="AV125" s="607"/>
      <c r="AW125" s="607"/>
      <c r="AX125" s="607"/>
      <c r="AY125" s="607"/>
      <c r="AZ125" s="607"/>
      <c r="BA125" s="607"/>
      <c r="BB125" s="607"/>
      <c r="BC125" s="607"/>
      <c r="BD125" s="607"/>
      <c r="BE125" s="607"/>
      <c r="BF125" s="607"/>
    </row>
    <row r="126" spans="1:58" ht="30" customHeight="1" thickBot="1" x14ac:dyDescent="0.25">
      <c r="A126" s="677"/>
      <c r="B126" s="1248"/>
      <c r="C126" s="828"/>
      <c r="D126" s="829"/>
      <c r="E126" s="749"/>
      <c r="F126" s="749"/>
      <c r="G126" s="749"/>
      <c r="H126" s="749"/>
      <c r="I126" s="749"/>
      <c r="J126" s="749"/>
      <c r="K126" s="750"/>
      <c r="L126" s="769"/>
      <c r="M126" s="716"/>
      <c r="N126" s="699"/>
      <c r="O126" s="794"/>
      <c r="P126" s="607"/>
      <c r="Q126" s="641"/>
      <c r="R126" s="642"/>
      <c r="S126" s="642"/>
      <c r="T126" s="642"/>
      <c r="U126" s="642"/>
      <c r="V126" s="642"/>
      <c r="W126" s="642"/>
      <c r="X126" s="642"/>
      <c r="Y126" s="642"/>
      <c r="Z126" s="642"/>
      <c r="AA126" s="642"/>
      <c r="AB126" s="642"/>
      <c r="AC126" s="642"/>
      <c r="AD126" s="607"/>
      <c r="AV126" s="607"/>
      <c r="AW126" s="607"/>
      <c r="AX126" s="607"/>
      <c r="AY126" s="607"/>
      <c r="AZ126" s="607"/>
      <c r="BA126" s="607"/>
      <c r="BB126" s="607"/>
      <c r="BC126" s="607"/>
      <c r="BD126" s="607"/>
      <c r="BE126" s="607"/>
      <c r="BF126" s="607"/>
    </row>
    <row r="127" spans="1:58" ht="30" customHeight="1" thickBot="1" x14ac:dyDescent="0.25">
      <c r="A127" s="677"/>
      <c r="B127" s="1249"/>
      <c r="C127" s="830" t="s">
        <v>293</v>
      </c>
      <c r="D127" s="831" t="s">
        <v>357</v>
      </c>
      <c r="E127" s="832" t="s">
        <v>292</v>
      </c>
      <c r="F127" s="833">
        <v>120</v>
      </c>
      <c r="G127" s="833">
        <v>1E-4</v>
      </c>
      <c r="H127" s="833">
        <v>6.9499999999999998E-4</v>
      </c>
      <c r="I127" s="833">
        <v>1.5999999999999999E-5</v>
      </c>
      <c r="J127" s="833">
        <v>2.2999999999999998</v>
      </c>
      <c r="K127" s="834">
        <v>42846</v>
      </c>
      <c r="L127" s="835" t="s">
        <v>457</v>
      </c>
      <c r="M127" s="716"/>
      <c r="N127" s="699"/>
      <c r="O127" s="794"/>
      <c r="P127" s="607"/>
      <c r="Q127" s="641"/>
      <c r="R127" s="642"/>
      <c r="S127" s="642"/>
      <c r="T127" s="642"/>
      <c r="U127" s="642"/>
      <c r="V127" s="642"/>
      <c r="W127" s="642"/>
      <c r="X127" s="642"/>
      <c r="Y127" s="642"/>
      <c r="Z127" s="642"/>
      <c r="AA127" s="642"/>
      <c r="AB127" s="642"/>
      <c r="AC127" s="642"/>
      <c r="AD127" s="607"/>
      <c r="AV127" s="607"/>
      <c r="AW127" s="607"/>
      <c r="AX127" s="607"/>
      <c r="AY127" s="607"/>
      <c r="AZ127" s="607"/>
      <c r="BA127" s="607"/>
      <c r="BB127" s="607"/>
      <c r="BC127" s="607"/>
      <c r="BD127" s="607"/>
      <c r="BE127" s="607"/>
      <c r="BF127" s="607"/>
    </row>
    <row r="128" spans="1:58" ht="30" customHeight="1" x14ac:dyDescent="0.2">
      <c r="A128" s="677"/>
      <c r="B128" s="836"/>
      <c r="C128" s="745"/>
      <c r="D128" s="837"/>
      <c r="E128" s="745"/>
      <c r="F128" s="745"/>
      <c r="G128" s="745"/>
      <c r="H128" s="745"/>
      <c r="I128" s="745"/>
      <c r="J128" s="745"/>
      <c r="K128" s="838"/>
      <c r="L128" s="839"/>
      <c r="M128" s="716"/>
      <c r="N128" s="699"/>
      <c r="O128" s="794"/>
      <c r="P128" s="607"/>
      <c r="Q128" s="641"/>
      <c r="R128" s="642"/>
      <c r="S128" s="642"/>
      <c r="T128" s="642"/>
      <c r="U128" s="642"/>
      <c r="V128" s="642"/>
      <c r="W128" s="642"/>
      <c r="X128" s="642"/>
      <c r="Y128" s="642"/>
      <c r="Z128" s="642"/>
      <c r="AA128" s="642"/>
      <c r="AB128" s="642"/>
      <c r="AC128" s="642"/>
      <c r="AD128" s="607"/>
      <c r="AV128" s="607"/>
      <c r="AW128" s="607"/>
      <c r="AX128" s="607"/>
      <c r="AY128" s="607"/>
      <c r="AZ128" s="607"/>
      <c r="BA128" s="607"/>
      <c r="BB128" s="607"/>
      <c r="BC128" s="607"/>
      <c r="BD128" s="607"/>
      <c r="BE128" s="607"/>
      <c r="BF128" s="607"/>
    </row>
    <row r="129" spans="1:58" ht="30" customHeight="1" thickBot="1" x14ac:dyDescent="0.25">
      <c r="A129" s="677"/>
      <c r="B129" s="607"/>
      <c r="C129" s="622"/>
      <c r="D129" s="622"/>
      <c r="E129" s="622"/>
      <c r="F129" s="622"/>
      <c r="G129" s="622"/>
      <c r="H129" s="622"/>
      <c r="I129" s="622"/>
      <c r="J129" s="622"/>
      <c r="K129" s="744"/>
      <c r="L129" s="622"/>
      <c r="M129" s="716"/>
      <c r="N129" s="699"/>
      <c r="O129" s="794"/>
      <c r="P129" s="607"/>
      <c r="Q129" s="641"/>
      <c r="R129" s="642"/>
      <c r="S129" s="642"/>
      <c r="T129" s="642"/>
      <c r="U129" s="642"/>
      <c r="V129" s="642"/>
      <c r="W129" s="642"/>
      <c r="X129" s="642"/>
      <c r="Y129" s="642"/>
      <c r="Z129" s="642"/>
      <c r="AA129" s="642"/>
      <c r="AB129" s="642"/>
      <c r="AC129" s="642"/>
      <c r="AD129" s="607"/>
      <c r="AV129" s="607"/>
      <c r="AW129" s="607"/>
      <c r="AX129" s="607"/>
      <c r="AY129" s="607"/>
      <c r="AZ129" s="607"/>
      <c r="BA129" s="607"/>
      <c r="BB129" s="607"/>
      <c r="BC129" s="607"/>
      <c r="BD129" s="607"/>
      <c r="BE129" s="607"/>
      <c r="BF129" s="607"/>
    </row>
    <row r="130" spans="1:58" ht="30" customHeight="1" thickBot="1" x14ac:dyDescent="0.25">
      <c r="A130" s="677"/>
      <c r="B130" s="1235" t="s">
        <v>258</v>
      </c>
      <c r="C130" s="1236"/>
      <c r="D130" s="1236"/>
      <c r="E130" s="1236"/>
      <c r="F130" s="1236"/>
      <c r="G130" s="1236"/>
      <c r="H130" s="1236"/>
      <c r="I130" s="1236"/>
      <c r="J130" s="1236"/>
      <c r="K130" s="1236"/>
      <c r="L130" s="1237"/>
      <c r="M130" s="716"/>
      <c r="N130" s="699"/>
      <c r="O130" s="794"/>
      <c r="P130" s="607"/>
      <c r="Q130" s="641"/>
      <c r="R130" s="642"/>
      <c r="S130" s="642"/>
      <c r="T130" s="642"/>
      <c r="U130" s="642"/>
      <c r="V130" s="642"/>
      <c r="W130" s="642"/>
      <c r="X130" s="642"/>
      <c r="Y130" s="642"/>
      <c r="Z130" s="642"/>
      <c r="AA130" s="642"/>
      <c r="AB130" s="642"/>
      <c r="AC130" s="642"/>
      <c r="AD130" s="607"/>
      <c r="AV130" s="607"/>
      <c r="AW130" s="607"/>
      <c r="AX130" s="607"/>
      <c r="AY130" s="607"/>
      <c r="AZ130" s="607"/>
      <c r="BA130" s="607"/>
      <c r="BB130" s="607"/>
      <c r="BC130" s="607"/>
      <c r="BD130" s="607"/>
      <c r="BE130" s="607"/>
      <c r="BF130" s="607"/>
    </row>
    <row r="131" spans="1:58" ht="60" customHeight="1" thickBot="1" x14ac:dyDescent="0.25">
      <c r="A131" s="677"/>
      <c r="B131" s="607"/>
      <c r="C131" s="745"/>
      <c r="D131" s="840" t="s">
        <v>54</v>
      </c>
      <c r="E131" s="841" t="s">
        <v>341</v>
      </c>
      <c r="F131" s="842" t="s">
        <v>342</v>
      </c>
      <c r="G131" s="842" t="s">
        <v>233</v>
      </c>
      <c r="H131" s="842" t="s">
        <v>294</v>
      </c>
      <c r="I131" s="842" t="s">
        <v>231</v>
      </c>
      <c r="J131" s="842" t="s">
        <v>295</v>
      </c>
      <c r="K131" s="843" t="s">
        <v>232</v>
      </c>
      <c r="L131" s="844" t="s">
        <v>362</v>
      </c>
      <c r="M131" s="716"/>
      <c r="N131" s="699"/>
      <c r="O131" s="794"/>
      <c r="P131" s="607"/>
      <c r="Q131" s="641"/>
      <c r="R131" s="642"/>
      <c r="S131" s="642"/>
      <c r="T131" s="642"/>
      <c r="U131" s="642"/>
      <c r="V131" s="642"/>
      <c r="W131" s="642"/>
      <c r="X131" s="642"/>
      <c r="Y131" s="642"/>
      <c r="Z131" s="642"/>
      <c r="AA131" s="642"/>
      <c r="AB131" s="642"/>
      <c r="AC131" s="642"/>
      <c r="AD131" s="607"/>
      <c r="AV131" s="607"/>
      <c r="AW131" s="607"/>
      <c r="AX131" s="607"/>
      <c r="AY131" s="607"/>
      <c r="AZ131" s="607"/>
      <c r="BA131" s="607"/>
      <c r="BB131" s="607"/>
      <c r="BC131" s="607"/>
      <c r="BD131" s="607"/>
      <c r="BE131" s="607"/>
      <c r="BF131" s="607"/>
    </row>
    <row r="132" spans="1:58" ht="30" customHeight="1" thickBot="1" x14ac:dyDescent="0.25">
      <c r="A132" s="677"/>
      <c r="B132" s="607"/>
      <c r="C132" s="745"/>
      <c r="D132" s="823"/>
      <c r="E132" s="743"/>
      <c r="F132" s="743"/>
      <c r="G132" s="743"/>
      <c r="H132" s="743"/>
      <c r="I132" s="743"/>
      <c r="J132" s="743"/>
      <c r="K132" s="824"/>
      <c r="L132" s="698"/>
      <c r="M132" s="716"/>
      <c r="N132" s="699"/>
      <c r="O132" s="794"/>
      <c r="P132" s="607"/>
      <c r="Q132" s="641"/>
      <c r="R132" s="642"/>
      <c r="S132" s="642"/>
      <c r="T132" s="642"/>
      <c r="U132" s="642"/>
      <c r="V132" s="642"/>
      <c r="W132" s="642"/>
      <c r="X132" s="642"/>
      <c r="Y132" s="642"/>
      <c r="Z132" s="642"/>
      <c r="AA132" s="642"/>
      <c r="AB132" s="642"/>
      <c r="AC132" s="642"/>
      <c r="AD132" s="607"/>
      <c r="AV132" s="607"/>
      <c r="AW132" s="607"/>
      <c r="AX132" s="607"/>
      <c r="AY132" s="607"/>
      <c r="AZ132" s="607"/>
      <c r="BA132" s="607"/>
      <c r="BB132" s="607"/>
      <c r="BC132" s="607"/>
      <c r="BD132" s="607"/>
      <c r="BE132" s="607"/>
      <c r="BF132" s="607"/>
    </row>
    <row r="133" spans="1:58" ht="30" customHeight="1" x14ac:dyDescent="0.2">
      <c r="A133" s="677"/>
      <c r="B133" s="1266" t="s">
        <v>255</v>
      </c>
      <c r="C133" s="752" t="s">
        <v>458</v>
      </c>
      <c r="D133" s="1269" t="s">
        <v>356</v>
      </c>
      <c r="E133" s="648">
        <v>16901291</v>
      </c>
      <c r="F133" s="845">
        <v>4.9800000000000004</v>
      </c>
      <c r="G133" s="845">
        <v>0.01</v>
      </c>
      <c r="H133" s="846">
        <v>-2E-3</v>
      </c>
      <c r="I133" s="846">
        <v>1E-3</v>
      </c>
      <c r="J133" s="847">
        <v>2</v>
      </c>
      <c r="K133" s="786">
        <v>43133</v>
      </c>
      <c r="L133" s="848" t="s">
        <v>460</v>
      </c>
      <c r="M133" s="716"/>
      <c r="N133" s="699"/>
      <c r="O133" s="794"/>
      <c r="P133" s="607"/>
      <c r="Q133" s="641"/>
      <c r="R133" s="642"/>
      <c r="S133" s="642"/>
      <c r="T133" s="642"/>
      <c r="U133" s="642"/>
      <c r="V133" s="642"/>
      <c r="W133" s="642"/>
      <c r="X133" s="642"/>
      <c r="Y133" s="642"/>
      <c r="Z133" s="642"/>
      <c r="AA133" s="642"/>
      <c r="AB133" s="642"/>
      <c r="AC133" s="642"/>
      <c r="AD133" s="607"/>
      <c r="AV133" s="607"/>
      <c r="AW133" s="607"/>
      <c r="AX133" s="607"/>
      <c r="AY133" s="607"/>
      <c r="AZ133" s="607"/>
      <c r="BA133" s="607"/>
      <c r="BB133" s="607"/>
      <c r="BC133" s="607"/>
      <c r="BD133" s="607"/>
      <c r="BE133" s="607"/>
      <c r="BF133" s="607"/>
    </row>
    <row r="134" spans="1:58" ht="30" customHeight="1" x14ac:dyDescent="0.2">
      <c r="A134" s="677"/>
      <c r="B134" s="1267"/>
      <c r="C134" s="815" t="s">
        <v>416</v>
      </c>
      <c r="D134" s="1270"/>
      <c r="E134" s="1028">
        <v>16901291</v>
      </c>
      <c r="F134" s="849">
        <v>21.49</v>
      </c>
      <c r="G134" s="849">
        <v>0.01</v>
      </c>
      <c r="H134" s="850">
        <v>-1E-3</v>
      </c>
      <c r="I134" s="850">
        <v>1E-3</v>
      </c>
      <c r="J134" s="851">
        <v>2</v>
      </c>
      <c r="K134" s="627">
        <v>43133</v>
      </c>
      <c r="L134" s="732" t="s">
        <v>460</v>
      </c>
      <c r="M134" s="716"/>
      <c r="N134" s="699"/>
      <c r="O134" s="794"/>
      <c r="P134" s="607"/>
      <c r="Q134" s="641"/>
      <c r="R134" s="642"/>
      <c r="S134" s="642"/>
      <c r="T134" s="642"/>
      <c r="U134" s="642"/>
      <c r="V134" s="642"/>
      <c r="W134" s="642"/>
      <c r="X134" s="642"/>
      <c r="Y134" s="642"/>
      <c r="Z134" s="642"/>
      <c r="AA134" s="642"/>
      <c r="AB134" s="642"/>
      <c r="AC134" s="642"/>
      <c r="AD134" s="607"/>
      <c r="AV134" s="607"/>
      <c r="AW134" s="607"/>
      <c r="AX134" s="607"/>
      <c r="AY134" s="607"/>
      <c r="AZ134" s="607"/>
      <c r="BA134" s="607"/>
      <c r="BB134" s="607"/>
      <c r="BC134" s="607"/>
      <c r="BD134" s="607"/>
      <c r="BE134" s="607"/>
      <c r="BF134" s="607"/>
    </row>
    <row r="135" spans="1:58" ht="30" customHeight="1" x14ac:dyDescent="0.2">
      <c r="A135" s="677"/>
      <c r="B135" s="1267"/>
      <c r="C135" s="815" t="s">
        <v>417</v>
      </c>
      <c r="D135" s="1270"/>
      <c r="E135" s="1028">
        <v>16901291</v>
      </c>
      <c r="F135" s="852">
        <v>50</v>
      </c>
      <c r="G135" s="849">
        <v>0.01</v>
      </c>
      <c r="H135" s="852">
        <v>0</v>
      </c>
      <c r="I135" s="850">
        <v>1E-3</v>
      </c>
      <c r="J135" s="851">
        <v>2</v>
      </c>
      <c r="K135" s="627">
        <v>43133</v>
      </c>
      <c r="L135" s="732" t="s">
        <v>460</v>
      </c>
      <c r="M135" s="716"/>
      <c r="N135" s="699"/>
      <c r="O135" s="794"/>
      <c r="P135" s="607"/>
      <c r="Q135" s="641"/>
      <c r="R135" s="642"/>
      <c r="S135" s="642"/>
      <c r="T135" s="642"/>
      <c r="U135" s="642"/>
      <c r="V135" s="642"/>
      <c r="W135" s="642"/>
      <c r="X135" s="642"/>
      <c r="Y135" s="642"/>
      <c r="Z135" s="642"/>
      <c r="AA135" s="642"/>
      <c r="AB135" s="642"/>
      <c r="AC135" s="642"/>
      <c r="AD135" s="607"/>
      <c r="AV135" s="607"/>
      <c r="AW135" s="607"/>
      <c r="AX135" s="607"/>
      <c r="AY135" s="607"/>
      <c r="AZ135" s="607"/>
      <c r="BA135" s="607"/>
      <c r="BB135" s="607"/>
      <c r="BC135" s="607"/>
      <c r="BD135" s="607"/>
      <c r="BE135" s="607"/>
      <c r="BF135" s="607"/>
    </row>
    <row r="136" spans="1:58" ht="35.1" customHeight="1" x14ac:dyDescent="0.2">
      <c r="A136" s="677"/>
      <c r="B136" s="1267"/>
      <c r="C136" s="815" t="s">
        <v>459</v>
      </c>
      <c r="D136" s="1270"/>
      <c r="E136" s="1028">
        <v>16901291</v>
      </c>
      <c r="F136" s="849">
        <v>71.510000000000005</v>
      </c>
      <c r="G136" s="849">
        <v>0.01</v>
      </c>
      <c r="H136" s="850">
        <v>1E-3</v>
      </c>
      <c r="I136" s="850">
        <v>1E-3</v>
      </c>
      <c r="J136" s="851">
        <v>2</v>
      </c>
      <c r="K136" s="627">
        <v>43133</v>
      </c>
      <c r="L136" s="732" t="s">
        <v>460</v>
      </c>
      <c r="M136" s="716"/>
      <c r="N136" s="699"/>
      <c r="O136" s="794"/>
      <c r="P136" s="607"/>
      <c r="Q136" s="641"/>
      <c r="R136" s="642"/>
      <c r="S136" s="642"/>
      <c r="T136" s="642"/>
      <c r="U136" s="642"/>
      <c r="V136" s="642"/>
      <c r="W136" s="642"/>
      <c r="X136" s="642"/>
      <c r="Y136" s="642"/>
      <c r="Z136" s="642"/>
      <c r="AA136" s="642"/>
      <c r="AB136" s="642"/>
      <c r="AC136" s="642"/>
      <c r="AD136" s="607"/>
      <c r="AV136" s="607"/>
      <c r="AW136" s="607"/>
      <c r="AX136" s="607"/>
      <c r="AY136" s="607"/>
      <c r="AZ136" s="607"/>
      <c r="BA136" s="607"/>
      <c r="BB136" s="607"/>
      <c r="BC136" s="607"/>
      <c r="BD136" s="607"/>
      <c r="BE136" s="607"/>
      <c r="BF136" s="607"/>
    </row>
    <row r="137" spans="1:58" ht="35.1" customHeight="1" x14ac:dyDescent="0.2">
      <c r="A137" s="677"/>
      <c r="B137" s="1267"/>
      <c r="C137" s="815" t="s">
        <v>418</v>
      </c>
      <c r="D137" s="1270"/>
      <c r="E137" s="1028">
        <v>16901291</v>
      </c>
      <c r="F137" s="849">
        <v>100.01</v>
      </c>
      <c r="G137" s="849">
        <v>0.01</v>
      </c>
      <c r="H137" s="853">
        <v>8.0000000000000002E-3</v>
      </c>
      <c r="I137" s="850">
        <v>1E-3</v>
      </c>
      <c r="J137" s="851">
        <v>2</v>
      </c>
      <c r="K137" s="627">
        <v>43133</v>
      </c>
      <c r="L137" s="732" t="s">
        <v>460</v>
      </c>
      <c r="M137" s="716"/>
      <c r="N137" s="699"/>
      <c r="O137" s="794"/>
      <c r="P137" s="607"/>
      <c r="Q137" s="641"/>
      <c r="R137" s="642"/>
      <c r="S137" s="642"/>
      <c r="T137" s="642"/>
      <c r="U137" s="642"/>
      <c r="V137" s="642"/>
      <c r="W137" s="642"/>
      <c r="X137" s="642"/>
      <c r="Y137" s="642"/>
      <c r="Z137" s="642"/>
      <c r="AA137" s="642"/>
      <c r="AB137" s="642"/>
      <c r="AC137" s="642"/>
      <c r="AD137" s="607"/>
      <c r="AV137" s="607"/>
      <c r="AW137" s="607"/>
      <c r="AX137" s="607"/>
      <c r="AY137" s="607"/>
      <c r="AZ137" s="607"/>
      <c r="BA137" s="607"/>
      <c r="BB137" s="607"/>
      <c r="BC137" s="607"/>
      <c r="BD137" s="607"/>
      <c r="BE137" s="607"/>
      <c r="BF137" s="607"/>
    </row>
    <row r="138" spans="1:58" ht="35.1" customHeight="1" x14ac:dyDescent="0.2">
      <c r="A138" s="677"/>
      <c r="B138" s="1267"/>
      <c r="C138" s="815" t="s">
        <v>419</v>
      </c>
      <c r="D138" s="1270"/>
      <c r="E138" s="1028">
        <v>16901291</v>
      </c>
      <c r="F138" s="852">
        <v>150</v>
      </c>
      <c r="G138" s="849">
        <v>0.01</v>
      </c>
      <c r="H138" s="852">
        <v>0</v>
      </c>
      <c r="I138" s="850">
        <v>1E-3</v>
      </c>
      <c r="J138" s="851">
        <v>2</v>
      </c>
      <c r="K138" s="627">
        <v>43133</v>
      </c>
      <c r="L138" s="732" t="s">
        <v>460</v>
      </c>
      <c r="M138" s="716"/>
      <c r="N138" s="699"/>
      <c r="O138" s="794"/>
      <c r="P138" s="607"/>
      <c r="Q138" s="641"/>
      <c r="R138" s="642"/>
      <c r="S138" s="642"/>
      <c r="T138" s="642"/>
      <c r="U138" s="642"/>
      <c r="V138" s="642"/>
      <c r="W138" s="642"/>
      <c r="X138" s="642"/>
      <c r="Y138" s="642"/>
      <c r="Z138" s="642"/>
      <c r="AA138" s="642"/>
      <c r="AB138" s="642"/>
      <c r="AC138" s="642"/>
      <c r="AD138" s="607"/>
      <c r="AV138" s="607"/>
      <c r="AW138" s="607"/>
      <c r="AX138" s="607"/>
      <c r="AY138" s="607"/>
      <c r="AZ138" s="607"/>
      <c r="BA138" s="607"/>
      <c r="BB138" s="607"/>
      <c r="BC138" s="607"/>
      <c r="BD138" s="607"/>
      <c r="BE138" s="607"/>
      <c r="BF138" s="607"/>
    </row>
    <row r="139" spans="1:58" ht="35.1" customHeight="1" thickBot="1" x14ac:dyDescent="0.25">
      <c r="A139" s="677"/>
      <c r="B139" s="1268"/>
      <c r="C139" s="818" t="s">
        <v>420</v>
      </c>
      <c r="D139" s="1271"/>
      <c r="E139" s="820">
        <v>16901291</v>
      </c>
      <c r="F139" s="854">
        <v>200</v>
      </c>
      <c r="G139" s="855">
        <v>0.01</v>
      </c>
      <c r="H139" s="854">
        <v>0</v>
      </c>
      <c r="I139" s="856">
        <v>1E-3</v>
      </c>
      <c r="J139" s="857">
        <v>2</v>
      </c>
      <c r="K139" s="792">
        <v>43133</v>
      </c>
      <c r="L139" s="858" t="s">
        <v>460</v>
      </c>
      <c r="M139" s="716"/>
      <c r="N139" s="699"/>
      <c r="O139" s="794"/>
      <c r="Q139" s="641"/>
      <c r="R139" s="642"/>
      <c r="S139" s="642"/>
      <c r="T139" s="642"/>
      <c r="U139" s="642"/>
      <c r="V139" s="642"/>
      <c r="W139" s="642"/>
      <c r="X139" s="642"/>
      <c r="Y139" s="642"/>
      <c r="Z139" s="642"/>
      <c r="AA139" s="642"/>
      <c r="AB139" s="642"/>
      <c r="AC139" s="642"/>
      <c r="AD139" s="607"/>
      <c r="AH139" s="607"/>
      <c r="AI139" s="745"/>
      <c r="AJ139" s="745"/>
      <c r="AK139" s="745"/>
      <c r="AL139" s="745"/>
      <c r="AM139" s="745"/>
      <c r="AN139" s="745"/>
      <c r="AO139" s="745"/>
      <c r="AP139" s="745"/>
      <c r="AQ139" s="838"/>
      <c r="AR139" s="859"/>
      <c r="AS139" s="745"/>
      <c r="AV139" s="607"/>
      <c r="AW139" s="607"/>
      <c r="AX139" s="607"/>
      <c r="AY139" s="607"/>
      <c r="AZ139" s="607"/>
      <c r="BA139" s="607"/>
      <c r="BB139" s="607"/>
      <c r="BC139" s="607"/>
      <c r="BD139" s="607"/>
      <c r="BE139" s="607"/>
      <c r="BF139" s="607"/>
    </row>
    <row r="140" spans="1:58" ht="35.1" customHeight="1" thickBot="1" x14ac:dyDescent="0.25">
      <c r="A140" s="677"/>
      <c r="B140" s="607"/>
      <c r="C140" s="828"/>
      <c r="D140" s="860"/>
      <c r="E140" s="1050"/>
      <c r="F140" s="797"/>
      <c r="G140" s="797"/>
      <c r="H140" s="861"/>
      <c r="I140" s="797"/>
      <c r="J140" s="797"/>
      <c r="K140" s="798"/>
      <c r="L140" s="862"/>
      <c r="M140" s="716"/>
      <c r="N140" s="699"/>
      <c r="O140" s="607"/>
      <c r="Q140" s="607"/>
      <c r="R140" s="607"/>
      <c r="S140" s="607"/>
      <c r="T140" s="859"/>
      <c r="U140" s="859"/>
      <c r="V140" s="859"/>
      <c r="W140" s="859"/>
      <c r="X140" s="859"/>
      <c r="Y140" s="859"/>
      <c r="Z140" s="859"/>
      <c r="AA140" s="859"/>
      <c r="AB140" s="859"/>
      <c r="AC140" s="607"/>
      <c r="AD140" s="607"/>
      <c r="AH140" s="607"/>
      <c r="AI140" s="607"/>
      <c r="AJ140" s="607"/>
      <c r="AK140" s="607"/>
      <c r="AL140" s="607"/>
      <c r="AM140" s="607"/>
      <c r="AN140" s="607"/>
      <c r="AO140" s="607"/>
      <c r="AP140" s="607"/>
      <c r="AQ140" s="684"/>
      <c r="AR140" s="607"/>
      <c r="AS140" s="745"/>
      <c r="AV140" s="607"/>
      <c r="AW140" s="607"/>
      <c r="AX140" s="607"/>
      <c r="AY140" s="607"/>
      <c r="AZ140" s="607"/>
      <c r="BA140" s="607"/>
      <c r="BB140" s="607"/>
      <c r="BC140" s="607"/>
      <c r="BD140" s="607"/>
      <c r="BE140" s="607"/>
      <c r="BF140" s="607"/>
    </row>
    <row r="141" spans="1:58" ht="35.1" customHeight="1" x14ac:dyDescent="0.2">
      <c r="A141" s="677"/>
      <c r="B141" s="1272" t="s">
        <v>256</v>
      </c>
      <c r="C141" s="681" t="s">
        <v>458</v>
      </c>
      <c r="D141" s="1254" t="s">
        <v>356</v>
      </c>
      <c r="E141" s="648">
        <v>16901291</v>
      </c>
      <c r="F141" s="863">
        <v>5</v>
      </c>
      <c r="G141" s="845">
        <v>0.01</v>
      </c>
      <c r="H141" s="863">
        <v>0</v>
      </c>
      <c r="I141" s="846">
        <v>1E-3</v>
      </c>
      <c r="J141" s="847">
        <v>2</v>
      </c>
      <c r="K141" s="786">
        <v>43133</v>
      </c>
      <c r="L141" s="864" t="s">
        <v>460</v>
      </c>
      <c r="M141" s="716"/>
      <c r="N141" s="699"/>
      <c r="O141" s="607"/>
      <c r="Q141" s="607"/>
      <c r="R141" s="607"/>
      <c r="S141" s="607"/>
      <c r="T141" s="607"/>
      <c r="U141" s="607"/>
      <c r="V141" s="607"/>
      <c r="W141" s="607"/>
      <c r="X141" s="607"/>
      <c r="Y141" s="607"/>
      <c r="Z141" s="607"/>
      <c r="AA141" s="607"/>
      <c r="AB141" s="607"/>
      <c r="AC141" s="607"/>
      <c r="AD141" s="607"/>
      <c r="AH141" s="607"/>
      <c r="AI141" s="607"/>
      <c r="AJ141" s="607"/>
      <c r="AK141" s="607"/>
      <c r="AL141" s="607"/>
      <c r="AM141" s="607"/>
      <c r="AN141" s="607"/>
      <c r="AO141" s="607"/>
      <c r="AP141" s="607"/>
      <c r="AQ141" s="684"/>
      <c r="AR141" s="607"/>
      <c r="AS141" s="859"/>
      <c r="AV141" s="607"/>
      <c r="AW141" s="607"/>
      <c r="AX141" s="607"/>
      <c r="AY141" s="607"/>
      <c r="AZ141" s="607"/>
      <c r="BA141" s="607"/>
      <c r="BB141" s="607"/>
      <c r="BC141" s="607"/>
      <c r="BD141" s="607"/>
      <c r="BE141" s="607"/>
      <c r="BF141" s="607"/>
    </row>
    <row r="142" spans="1:58" ht="35.1" customHeight="1" x14ac:dyDescent="0.2">
      <c r="A142" s="677"/>
      <c r="B142" s="1273"/>
      <c r="C142" s="625" t="s">
        <v>416</v>
      </c>
      <c r="D142" s="1255"/>
      <c r="E142" s="1028">
        <v>16901291</v>
      </c>
      <c r="F142" s="852">
        <v>21.51</v>
      </c>
      <c r="G142" s="849">
        <v>0.01</v>
      </c>
      <c r="H142" s="850">
        <v>1E-3</v>
      </c>
      <c r="I142" s="850">
        <v>1E-3</v>
      </c>
      <c r="J142" s="851">
        <v>2</v>
      </c>
      <c r="K142" s="627">
        <v>43133</v>
      </c>
      <c r="L142" s="865" t="s">
        <v>460</v>
      </c>
      <c r="M142" s="716"/>
      <c r="N142" s="699"/>
      <c r="Q142" s="607"/>
      <c r="R142" s="607"/>
      <c r="S142" s="607"/>
      <c r="T142" s="607"/>
      <c r="U142" s="607"/>
      <c r="V142" s="607"/>
      <c r="W142" s="607"/>
      <c r="X142" s="607"/>
      <c r="Y142" s="607"/>
      <c r="Z142" s="607"/>
      <c r="AA142" s="607"/>
      <c r="AB142" s="607"/>
      <c r="AC142" s="607"/>
      <c r="AD142" s="607"/>
      <c r="BD142" s="607"/>
      <c r="BE142" s="607"/>
      <c r="BF142" s="607"/>
    </row>
    <row r="143" spans="1:58" ht="35.1" customHeight="1" x14ac:dyDescent="0.2">
      <c r="A143" s="677"/>
      <c r="B143" s="1273"/>
      <c r="C143" s="625" t="s">
        <v>417</v>
      </c>
      <c r="D143" s="1255"/>
      <c r="E143" s="1028">
        <v>16901291</v>
      </c>
      <c r="F143" s="852">
        <v>50.01</v>
      </c>
      <c r="G143" s="849">
        <v>0.01</v>
      </c>
      <c r="H143" s="850">
        <v>1E-3</v>
      </c>
      <c r="I143" s="850">
        <v>1E-3</v>
      </c>
      <c r="J143" s="851">
        <v>2</v>
      </c>
      <c r="K143" s="627">
        <v>43133</v>
      </c>
      <c r="L143" s="865" t="s">
        <v>460</v>
      </c>
      <c r="M143" s="716"/>
      <c r="N143" s="699"/>
      <c r="T143" s="610"/>
      <c r="U143" s="610"/>
      <c r="V143" s="610"/>
      <c r="W143" s="610"/>
      <c r="X143" s="610"/>
      <c r="Y143" s="610"/>
      <c r="Z143" s="610"/>
      <c r="AA143" s="610"/>
      <c r="AB143" s="610"/>
      <c r="AV143" s="607"/>
      <c r="AW143" s="607"/>
      <c r="AX143" s="607"/>
      <c r="AY143" s="607"/>
      <c r="AZ143" s="607"/>
      <c r="BA143" s="607"/>
      <c r="BB143" s="607"/>
      <c r="BC143" s="607"/>
      <c r="BD143" s="607"/>
      <c r="BE143" s="607"/>
      <c r="BF143" s="607"/>
    </row>
    <row r="144" spans="1:58" ht="35.1" customHeight="1" x14ac:dyDescent="0.2">
      <c r="A144" s="677"/>
      <c r="B144" s="1273"/>
      <c r="C144" s="625" t="s">
        <v>459</v>
      </c>
      <c r="D144" s="1255"/>
      <c r="E144" s="1028">
        <v>16901291</v>
      </c>
      <c r="F144" s="852">
        <v>71.510000000000005</v>
      </c>
      <c r="G144" s="849">
        <v>0.01</v>
      </c>
      <c r="H144" s="850">
        <v>1E-3</v>
      </c>
      <c r="I144" s="850">
        <v>1E-3</v>
      </c>
      <c r="J144" s="851">
        <v>2</v>
      </c>
      <c r="K144" s="627">
        <v>43133</v>
      </c>
      <c r="L144" s="865" t="s">
        <v>460</v>
      </c>
      <c r="M144" s="716"/>
      <c r="N144" s="699"/>
      <c r="T144" s="610"/>
      <c r="U144" s="610"/>
      <c r="V144" s="610"/>
      <c r="W144" s="610"/>
      <c r="X144" s="610"/>
      <c r="Y144" s="610"/>
      <c r="Z144" s="610"/>
      <c r="AA144" s="610"/>
      <c r="AB144" s="610"/>
      <c r="AV144" s="607"/>
      <c r="AW144" s="607"/>
      <c r="AX144" s="607"/>
      <c r="AY144" s="607"/>
      <c r="AZ144" s="607"/>
      <c r="BA144" s="607"/>
      <c r="BB144" s="607"/>
      <c r="BC144" s="607"/>
      <c r="BD144" s="607"/>
      <c r="BE144" s="607"/>
      <c r="BF144" s="607"/>
    </row>
    <row r="145" spans="1:14" ht="35.1" customHeight="1" x14ac:dyDescent="0.2">
      <c r="A145" s="677"/>
      <c r="B145" s="1273"/>
      <c r="C145" s="625" t="s">
        <v>418</v>
      </c>
      <c r="D145" s="1255"/>
      <c r="E145" s="1028">
        <v>16901291</v>
      </c>
      <c r="F145" s="852">
        <v>100.01</v>
      </c>
      <c r="G145" s="849">
        <v>0.01</v>
      </c>
      <c r="H145" s="850">
        <v>1E-3</v>
      </c>
      <c r="I145" s="850">
        <v>1E-3</v>
      </c>
      <c r="J145" s="851">
        <v>2</v>
      </c>
      <c r="K145" s="627">
        <v>43133</v>
      </c>
      <c r="L145" s="865" t="s">
        <v>460</v>
      </c>
      <c r="M145" s="716"/>
      <c r="N145" s="699"/>
    </row>
    <row r="146" spans="1:14" ht="35.1" customHeight="1" x14ac:dyDescent="0.2">
      <c r="A146" s="677"/>
      <c r="B146" s="1273"/>
      <c r="C146" s="625" t="s">
        <v>419</v>
      </c>
      <c r="D146" s="1255"/>
      <c r="E146" s="1028">
        <v>16901291</v>
      </c>
      <c r="F146" s="852">
        <v>150.01</v>
      </c>
      <c r="G146" s="849">
        <v>0.01</v>
      </c>
      <c r="H146" s="850">
        <v>1E-3</v>
      </c>
      <c r="I146" s="850">
        <v>1E-3</v>
      </c>
      <c r="J146" s="851">
        <v>2</v>
      </c>
      <c r="K146" s="627">
        <v>43133</v>
      </c>
      <c r="L146" s="865" t="s">
        <v>460</v>
      </c>
      <c r="M146" s="716"/>
      <c r="N146" s="699"/>
    </row>
    <row r="147" spans="1:14" ht="35.1" customHeight="1" thickBot="1" x14ac:dyDescent="0.25">
      <c r="A147" s="677"/>
      <c r="B147" s="1274"/>
      <c r="C147" s="690" t="s">
        <v>420</v>
      </c>
      <c r="D147" s="1256"/>
      <c r="E147" s="820">
        <v>16901291</v>
      </c>
      <c r="F147" s="854">
        <v>200</v>
      </c>
      <c r="G147" s="855">
        <v>0.01</v>
      </c>
      <c r="H147" s="856">
        <v>0</v>
      </c>
      <c r="I147" s="856">
        <v>1E-3</v>
      </c>
      <c r="J147" s="857">
        <v>2</v>
      </c>
      <c r="K147" s="792">
        <v>43133</v>
      </c>
      <c r="L147" s="866" t="s">
        <v>460</v>
      </c>
      <c r="M147" s="716"/>
      <c r="N147" s="699"/>
    </row>
    <row r="148" spans="1:14" ht="35.1" customHeight="1" x14ac:dyDescent="0.2">
      <c r="A148" s="677"/>
      <c r="B148" s="607"/>
      <c r="C148" s="622"/>
      <c r="D148" s="745"/>
      <c r="E148" s="622"/>
      <c r="F148" s="622"/>
      <c r="G148" s="622"/>
      <c r="H148" s="622"/>
      <c r="I148" s="622"/>
      <c r="J148" s="622"/>
      <c r="K148" s="744"/>
      <c r="L148" s="622"/>
      <c r="M148" s="716"/>
      <c r="N148" s="699"/>
    </row>
    <row r="149" spans="1:14" ht="35.1" customHeight="1" thickBot="1" x14ac:dyDescent="0.25">
      <c r="A149" s="677"/>
      <c r="B149" s="607"/>
      <c r="C149" s="622"/>
      <c r="D149" s="745"/>
      <c r="E149" s="622"/>
      <c r="F149" s="622"/>
      <c r="G149" s="622"/>
      <c r="H149" s="622"/>
      <c r="I149" s="622"/>
      <c r="J149" s="622"/>
      <c r="K149" s="744"/>
      <c r="L149" s="622"/>
      <c r="M149" s="716"/>
      <c r="N149" s="699"/>
    </row>
    <row r="150" spans="1:14" ht="35.1" customHeight="1" thickBot="1" x14ac:dyDescent="0.25">
      <c r="A150" s="677"/>
      <c r="B150" s="1235" t="s">
        <v>258</v>
      </c>
      <c r="C150" s="1236"/>
      <c r="D150" s="1236"/>
      <c r="E150" s="1236"/>
      <c r="F150" s="1236"/>
      <c r="G150" s="1236"/>
      <c r="H150" s="1236"/>
      <c r="I150" s="1236"/>
      <c r="J150" s="1236"/>
      <c r="K150" s="1236"/>
      <c r="L150" s="1237"/>
      <c r="M150" s="716"/>
      <c r="N150" s="699"/>
    </row>
    <row r="151" spans="1:14" ht="60" customHeight="1" thickBot="1" x14ac:dyDescent="0.25">
      <c r="A151" s="677"/>
      <c r="B151" s="1247" t="s">
        <v>254</v>
      </c>
      <c r="C151" s="607"/>
      <c r="D151" s="776" t="s">
        <v>54</v>
      </c>
      <c r="E151" s="777" t="s">
        <v>341</v>
      </c>
      <c r="F151" s="776" t="s">
        <v>340</v>
      </c>
      <c r="G151" s="776" t="s">
        <v>233</v>
      </c>
      <c r="H151" s="776" t="s">
        <v>294</v>
      </c>
      <c r="I151" s="776" t="s">
        <v>231</v>
      </c>
      <c r="J151" s="776" t="s">
        <v>295</v>
      </c>
      <c r="K151" s="778" t="s">
        <v>232</v>
      </c>
      <c r="L151" s="867" t="s">
        <v>362</v>
      </c>
      <c r="M151" s="716"/>
      <c r="N151" s="699"/>
    </row>
    <row r="152" spans="1:14" ht="35.1" customHeight="1" x14ac:dyDescent="0.25">
      <c r="A152" s="677"/>
      <c r="B152" s="1264"/>
      <c r="C152" s="868"/>
      <c r="D152" s="581"/>
      <c r="E152" s="582"/>
      <c r="F152" s="582"/>
      <c r="G152" s="582"/>
      <c r="H152" s="582"/>
      <c r="I152" s="582"/>
      <c r="J152" s="582"/>
      <c r="K152" s="583"/>
      <c r="L152" s="584"/>
      <c r="M152" s="716"/>
      <c r="N152" s="699"/>
    </row>
    <row r="153" spans="1:14" ht="35.1" customHeight="1" thickBot="1" x14ac:dyDescent="0.25">
      <c r="A153" s="677"/>
      <c r="B153" s="1265"/>
      <c r="C153" s="818" t="s">
        <v>358</v>
      </c>
      <c r="D153" s="869" t="s">
        <v>356</v>
      </c>
      <c r="E153" s="870">
        <v>63091842</v>
      </c>
      <c r="F153" s="871">
        <v>25</v>
      </c>
      <c r="G153" s="871">
        <v>1.2999999999999999E-3</v>
      </c>
      <c r="H153" s="871">
        <v>0</v>
      </c>
      <c r="I153" s="871">
        <v>8.9999999999999993E-3</v>
      </c>
      <c r="J153" s="872">
        <v>2</v>
      </c>
      <c r="K153" s="873">
        <v>43132</v>
      </c>
      <c r="L153" s="874" t="s">
        <v>461</v>
      </c>
      <c r="M153" s="875"/>
      <c r="N153" s="699"/>
    </row>
    <row r="154" spans="1:14" ht="35.1" customHeight="1" thickBot="1" x14ac:dyDescent="0.25">
      <c r="A154" s="876"/>
      <c r="B154" s="877"/>
      <c r="C154" s="878"/>
      <c r="D154" s="879"/>
      <c r="E154" s="880"/>
      <c r="F154" s="880"/>
      <c r="G154" s="880"/>
      <c r="H154" s="880"/>
      <c r="I154" s="880"/>
      <c r="J154" s="880"/>
      <c r="K154" s="881"/>
      <c r="L154" s="882"/>
      <c r="M154" s="883"/>
      <c r="N154" s="884"/>
    </row>
    <row r="224" spans="74:77" ht="35.1" customHeight="1" x14ac:dyDescent="0.25">
      <c r="BV224" s="617"/>
      <c r="BW224" s="617"/>
      <c r="BX224" s="617"/>
      <c r="BY224" s="617"/>
    </row>
    <row r="225" spans="74:77" ht="35.1" customHeight="1" x14ac:dyDescent="0.25">
      <c r="BV225" s="617"/>
      <c r="BW225" s="617"/>
      <c r="BX225" s="617"/>
      <c r="BY225" s="617"/>
    </row>
    <row r="226" spans="74:77" ht="35.1" customHeight="1" x14ac:dyDescent="0.25">
      <c r="BV226" s="617"/>
      <c r="BW226" s="617"/>
      <c r="BX226" s="617"/>
      <c r="BY226" s="617"/>
    </row>
    <row r="227" spans="74:77" ht="35.1" customHeight="1" x14ac:dyDescent="0.25">
      <c r="BV227" s="617"/>
      <c r="BW227" s="617"/>
      <c r="BX227" s="617"/>
      <c r="BY227" s="617"/>
    </row>
  </sheetData>
  <sheetProtection algorithmName="SHA-512" hashValue="/0X2Of9jzYeYQXkfORR7QH79U893g1OTn2bxSwNgC8O6y/CCwghXfq7ewGlz/Wu1fjDwEKeRpJXwjVh6lEfZ3Q==" saltValue="LKXKUAyoLPjdFR+lrAjCGw==" spinCount="100000" sheet="1" objects="1" scenarios="1"/>
  <dataConsolidate/>
  <mergeCells count="140">
    <mergeCell ref="D5:N5"/>
    <mergeCell ref="C48:T48"/>
    <mergeCell ref="B41:B44"/>
    <mergeCell ref="R8:T8"/>
    <mergeCell ref="R9:T9"/>
    <mergeCell ref="Q14:S14"/>
    <mergeCell ref="T14:V14"/>
    <mergeCell ref="B35:L35"/>
    <mergeCell ref="L42:L44"/>
    <mergeCell ref="B11:N12"/>
    <mergeCell ref="P34:S34"/>
    <mergeCell ref="Q15:S15"/>
    <mergeCell ref="B37:B40"/>
    <mergeCell ref="B29:B32"/>
    <mergeCell ref="P35:S35"/>
    <mergeCell ref="D141:D147"/>
    <mergeCell ref="B151:B153"/>
    <mergeCell ref="B141:B147"/>
    <mergeCell ref="B133:B139"/>
    <mergeCell ref="B116:B122"/>
    <mergeCell ref="B130:L130"/>
    <mergeCell ref="B124:L124"/>
    <mergeCell ref="B150:L150"/>
    <mergeCell ref="D133:D139"/>
    <mergeCell ref="E1:M1"/>
    <mergeCell ref="B125:B127"/>
    <mergeCell ref="B28:L28"/>
    <mergeCell ref="P4:T4"/>
    <mergeCell ref="R5:T5"/>
    <mergeCell ref="O3:T3"/>
    <mergeCell ref="Q16:S16"/>
    <mergeCell ref="B21:M21"/>
    <mergeCell ref="P5:Q5"/>
    <mergeCell ref="L38:L40"/>
    <mergeCell ref="D38:D40"/>
    <mergeCell ref="D42:D44"/>
    <mergeCell ref="B114:L114"/>
    <mergeCell ref="Q23:S23"/>
    <mergeCell ref="B105:L105"/>
    <mergeCell ref="B107:B112"/>
    <mergeCell ref="A51:B53"/>
    <mergeCell ref="C51:C59"/>
    <mergeCell ref="D51:D59"/>
    <mergeCell ref="E51:E59"/>
    <mergeCell ref="J51:J53"/>
    <mergeCell ref="K51:K53"/>
    <mergeCell ref="L51:L53"/>
    <mergeCell ref="C46:T47"/>
    <mergeCell ref="O49:O50"/>
    <mergeCell ref="P49:R50"/>
    <mergeCell ref="S49:S50"/>
    <mergeCell ref="T49:T50"/>
    <mergeCell ref="S52:S54"/>
    <mergeCell ref="T52:T54"/>
    <mergeCell ref="O53:O54"/>
    <mergeCell ref="L54:L56"/>
    <mergeCell ref="A57:B59"/>
    <mergeCell ref="I57:I59"/>
    <mergeCell ref="J57:J59"/>
    <mergeCell ref="K57:K59"/>
    <mergeCell ref="L57:L59"/>
    <mergeCell ref="A54:B56"/>
    <mergeCell ref="J54:J56"/>
    <mergeCell ref="K54:K56"/>
    <mergeCell ref="K68:K70"/>
    <mergeCell ref="L68:L70"/>
    <mergeCell ref="S62:S64"/>
    <mergeCell ref="T62:T64"/>
    <mergeCell ref="O63:O64"/>
    <mergeCell ref="K62:K64"/>
    <mergeCell ref="L62:L64"/>
    <mergeCell ref="A65:B67"/>
    <mergeCell ref="J65:J67"/>
    <mergeCell ref="K65:K67"/>
    <mergeCell ref="L65:L67"/>
    <mergeCell ref="A62:B64"/>
    <mergeCell ref="C62:C70"/>
    <mergeCell ref="D62:D70"/>
    <mergeCell ref="E62:E70"/>
    <mergeCell ref="J62:J64"/>
    <mergeCell ref="A68:B70"/>
    <mergeCell ref="I68:I70"/>
    <mergeCell ref="J68:J70"/>
    <mergeCell ref="K79:K81"/>
    <mergeCell ref="L79:L81"/>
    <mergeCell ref="S73:S75"/>
    <mergeCell ref="T73:T75"/>
    <mergeCell ref="O74:O75"/>
    <mergeCell ref="K73:K75"/>
    <mergeCell ref="L73:L75"/>
    <mergeCell ref="A76:B78"/>
    <mergeCell ref="J76:J78"/>
    <mergeCell ref="K76:K78"/>
    <mergeCell ref="L76:L78"/>
    <mergeCell ref="A73:B75"/>
    <mergeCell ref="C73:C81"/>
    <mergeCell ref="D73:D81"/>
    <mergeCell ref="E73:E81"/>
    <mergeCell ref="J73:J75"/>
    <mergeCell ref="A79:B81"/>
    <mergeCell ref="I79:I81"/>
    <mergeCell ref="J79:J81"/>
    <mergeCell ref="A87:B89"/>
    <mergeCell ref="J87:J89"/>
    <mergeCell ref="K87:K89"/>
    <mergeCell ref="L87:L89"/>
    <mergeCell ref="A84:B86"/>
    <mergeCell ref="C84:C92"/>
    <mergeCell ref="D84:D92"/>
    <mergeCell ref="E84:E92"/>
    <mergeCell ref="J84:J86"/>
    <mergeCell ref="A90:B92"/>
    <mergeCell ref="I90:I92"/>
    <mergeCell ref="J90:J92"/>
    <mergeCell ref="K90:K92"/>
    <mergeCell ref="L90:L92"/>
    <mergeCell ref="A98:B100"/>
    <mergeCell ref="J98:J100"/>
    <mergeCell ref="K98:K100"/>
    <mergeCell ref="L98:L100"/>
    <mergeCell ref="A95:B97"/>
    <mergeCell ref="C95:C103"/>
    <mergeCell ref="D95:D103"/>
    <mergeCell ref="E95:E103"/>
    <mergeCell ref="J95:J97"/>
    <mergeCell ref="A101:B103"/>
    <mergeCell ref="I101:I103"/>
    <mergeCell ref="J101:J103"/>
    <mergeCell ref="S84:S86"/>
    <mergeCell ref="T84:T86"/>
    <mergeCell ref="K101:K103"/>
    <mergeCell ref="L101:L103"/>
    <mergeCell ref="S95:S97"/>
    <mergeCell ref="T95:T97"/>
    <mergeCell ref="O96:O97"/>
    <mergeCell ref="K95:K97"/>
    <mergeCell ref="L95:L97"/>
    <mergeCell ref="O85:O86"/>
    <mergeCell ref="K84:K86"/>
    <mergeCell ref="L84:L86"/>
  </mergeCells>
  <pageMargins left="0.70866141732283472" right="0.70866141732283472" top="0.74803149606299213" bottom="0.74803149606299213" header="0.31496062992125984" footer="0.31496062992125984"/>
  <pageSetup scale="10" pageOrder="overThenDown" orientation="portrait" horizontalDpi="4294967293" r:id="rId1"/>
  <rowBreaks count="1" manualBreakCount="1">
    <brk id="69" max="16383" man="1"/>
  </rowBreaks>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showGridLines="0" view="pageBreakPreview" topLeftCell="E1" zoomScaleNormal="100" zoomScaleSheetLayoutView="100" zoomScalePageLayoutView="25" workbookViewId="0">
      <selection activeCell="F117" sqref="F117"/>
    </sheetView>
  </sheetViews>
  <sheetFormatPr baseColWidth="10" defaultRowHeight="30" customHeight="1" x14ac:dyDescent="0.25"/>
  <cols>
    <col min="1" max="1" width="20.140625" style="2" customWidth="1"/>
    <col min="2" max="2" width="15.28515625" style="10" customWidth="1"/>
    <col min="3" max="3" width="17.5703125" style="10" customWidth="1"/>
    <col min="4" max="6" width="13.7109375" style="10" customWidth="1"/>
    <col min="7" max="7" width="14.28515625" style="10" customWidth="1"/>
    <col min="8" max="8" width="13.7109375" style="10" customWidth="1"/>
    <col min="9" max="9" width="15.85546875" style="10" customWidth="1"/>
    <col min="10" max="10" width="15" style="10" customWidth="1"/>
    <col min="11" max="11" width="16.140625" style="10" customWidth="1"/>
    <col min="12" max="12" width="15.140625" style="10" customWidth="1"/>
    <col min="13" max="13" width="15.7109375" style="10" customWidth="1"/>
    <col min="14" max="14" width="14" style="10" customWidth="1"/>
    <col min="15" max="15" width="15.42578125" style="10" customWidth="1"/>
    <col min="16" max="16" width="13.7109375" style="10" customWidth="1"/>
    <col min="17" max="18" width="13.7109375" style="2" customWidth="1"/>
    <col min="19" max="19" width="11.42578125" style="2" customWidth="1"/>
    <col min="20" max="24" width="11.42578125" style="2"/>
    <col min="25" max="25" width="11.7109375" style="2" customWidth="1"/>
    <col min="26" max="16384" width="11.42578125" style="2"/>
  </cols>
  <sheetData>
    <row r="1" spans="1:21" ht="80.099999999999994" customHeight="1" thickBot="1" x14ac:dyDescent="0.3">
      <c r="A1" s="1488"/>
      <c r="B1" s="1489"/>
      <c r="C1" s="114"/>
      <c r="D1" s="1490" t="s">
        <v>484</v>
      </c>
      <c r="E1" s="1491"/>
      <c r="F1" s="1491"/>
      <c r="G1" s="1491"/>
      <c r="H1" s="1491"/>
      <c r="I1" s="1491"/>
      <c r="J1" s="1491"/>
      <c r="K1" s="1491"/>
      <c r="L1" s="1491"/>
      <c r="M1" s="1491"/>
      <c r="N1" s="1491"/>
      <c r="O1" s="1491"/>
      <c r="P1" s="1491"/>
      <c r="Q1" s="1491"/>
      <c r="R1" s="1492"/>
      <c r="S1" s="115"/>
    </row>
    <row r="2" spans="1:21" s="7" customFormat="1" ht="5.0999999999999996" customHeight="1" thickBot="1" x14ac:dyDescent="0.3">
      <c r="A2" s="116"/>
      <c r="B2" s="8"/>
      <c r="C2" s="10"/>
      <c r="D2" s="117"/>
      <c r="E2" s="117"/>
      <c r="F2" s="117"/>
      <c r="G2" s="117"/>
      <c r="H2" s="117"/>
      <c r="I2" s="117"/>
      <c r="J2" s="117"/>
      <c r="K2" s="117"/>
      <c r="L2" s="117"/>
      <c r="M2" s="117"/>
      <c r="N2" s="117"/>
      <c r="O2" s="117"/>
      <c r="P2" s="117"/>
      <c r="Q2" s="117"/>
      <c r="R2" s="117"/>
      <c r="S2" s="83"/>
    </row>
    <row r="3" spans="1:21" s="7" customFormat="1" ht="37.5" customHeight="1" thickBot="1" x14ac:dyDescent="0.3">
      <c r="A3" s="112" t="s">
        <v>67</v>
      </c>
      <c r="B3" s="118" t="e">
        <f>VLOOKUP($S$3,DATOS!$D$7:$N$19,2,FALSE)</f>
        <v>#N/A</v>
      </c>
      <c r="C3" s="65" t="s">
        <v>249</v>
      </c>
      <c r="D3" s="1505" t="e">
        <f>VLOOKUP(S3,DATOS!D7:N19,3,FALSE)</f>
        <v>#N/A</v>
      </c>
      <c r="E3" s="1506"/>
      <c r="F3" s="66" t="s">
        <v>574</v>
      </c>
      <c r="G3" s="540" t="e">
        <f>VLOOKUP(S3,DATOS!D7:N19,7,FALSE)</f>
        <v>#N/A</v>
      </c>
      <c r="H3" s="597"/>
      <c r="I3" s="66" t="s">
        <v>250</v>
      </c>
      <c r="J3" s="1509" t="e">
        <f>VLOOKUP(S3,DATOS!D7:N19,4,FALSE)</f>
        <v>#N/A</v>
      </c>
      <c r="K3" s="1510"/>
      <c r="L3" s="66" t="s">
        <v>31</v>
      </c>
      <c r="M3" s="1505" t="e">
        <f>VLOOKUP(S3,DATOS!D7:N19,6,FALSE)</f>
        <v>#N/A</v>
      </c>
      <c r="N3" s="1506"/>
      <c r="O3" s="66" t="s">
        <v>252</v>
      </c>
      <c r="P3" s="540" t="e">
        <f>VLOOKUP(S3,DATOS!D7:N19,11,FALSE)</f>
        <v>#N/A</v>
      </c>
      <c r="Q3" s="541"/>
      <c r="R3" s="541"/>
      <c r="S3" s="314"/>
      <c r="U3" s="1072"/>
    </row>
    <row r="4" spans="1:21" s="7" customFormat="1" ht="4.5" customHeight="1" thickBot="1" x14ac:dyDescent="0.3">
      <c r="A4" s="32"/>
      <c r="B4" s="10"/>
      <c r="C4" s="10"/>
      <c r="D4" s="10"/>
      <c r="E4" s="10"/>
      <c r="F4" s="10"/>
      <c r="G4" s="10"/>
      <c r="H4" s="10"/>
      <c r="I4" s="10"/>
      <c r="J4" s="10"/>
      <c r="K4" s="10"/>
      <c r="L4" s="10"/>
      <c r="M4" s="10"/>
      <c r="N4" s="10"/>
      <c r="O4" s="10"/>
      <c r="P4" s="10"/>
      <c r="Q4" s="10"/>
      <c r="R4" s="10"/>
      <c r="S4" s="83"/>
      <c r="U4" s="1072"/>
    </row>
    <row r="5" spans="1:21" ht="30" customHeight="1" x14ac:dyDescent="0.25">
      <c r="A5" s="1493" t="s">
        <v>91</v>
      </c>
      <c r="B5" s="1494"/>
      <c r="C5" s="1494"/>
      <c r="D5" s="1494"/>
      <c r="E5" s="1494"/>
      <c r="F5" s="1494"/>
      <c r="G5" s="1494"/>
      <c r="H5" s="1494"/>
      <c r="I5" s="1494"/>
      <c r="J5" s="1494"/>
      <c r="K5" s="1494"/>
      <c r="L5" s="1494"/>
      <c r="M5" s="1494"/>
      <c r="N5" s="1494"/>
      <c r="O5" s="1494"/>
      <c r="P5" s="1494"/>
      <c r="Q5" s="1494"/>
      <c r="R5" s="1495"/>
      <c r="S5" s="82"/>
    </row>
    <row r="6" spans="1:21" ht="50.1" customHeight="1" thickBot="1" x14ac:dyDescent="0.3">
      <c r="A6" s="119" t="s">
        <v>14</v>
      </c>
      <c r="B6" s="120" t="s">
        <v>234</v>
      </c>
      <c r="C6" s="120" t="s">
        <v>236</v>
      </c>
      <c r="D6" s="120" t="s">
        <v>92</v>
      </c>
      <c r="E6" s="120" t="s">
        <v>233</v>
      </c>
      <c r="F6" s="120" t="s">
        <v>92</v>
      </c>
      <c r="G6" s="120" t="s">
        <v>235</v>
      </c>
      <c r="H6" s="120" t="s">
        <v>92</v>
      </c>
      <c r="I6" s="120" t="s">
        <v>231</v>
      </c>
      <c r="J6" s="120" t="s">
        <v>92</v>
      </c>
      <c r="K6" s="121" t="s">
        <v>93</v>
      </c>
      <c r="L6" s="120" t="s">
        <v>92</v>
      </c>
      <c r="M6" s="120" t="s">
        <v>575</v>
      </c>
      <c r="N6" s="120" t="s">
        <v>92</v>
      </c>
      <c r="O6" s="120" t="s">
        <v>237</v>
      </c>
      <c r="P6" s="120" t="s">
        <v>232</v>
      </c>
      <c r="Q6" s="1496" t="s">
        <v>260</v>
      </c>
      <c r="R6" s="1497"/>
      <c r="S6" s="82"/>
    </row>
    <row r="7" spans="1:21" ht="30" customHeight="1" thickBot="1" x14ac:dyDescent="0.3">
      <c r="A7" s="122" t="s">
        <v>1</v>
      </c>
      <c r="B7" s="123" t="e">
        <f>VLOOKUP(S7,DATOS!C30:K32,3,FALSE)</f>
        <v>#N/A</v>
      </c>
      <c r="C7" s="124" t="e">
        <f>VLOOKUP(S7,DATOS!C30:K32,4,FALSE)</f>
        <v>#N/A</v>
      </c>
      <c r="D7" s="125" t="s">
        <v>4</v>
      </c>
      <c r="E7" s="126" t="e">
        <f>VLOOKUP(S7,DATOS!C30:K32,5,FALSE)</f>
        <v>#N/A</v>
      </c>
      <c r="F7" s="125" t="s">
        <v>4</v>
      </c>
      <c r="G7" s="124" t="e">
        <f>VLOOKUP(S7,DATOS!C30:K32,6,FALSE)</f>
        <v>#N/A</v>
      </c>
      <c r="H7" s="125" t="s">
        <v>94</v>
      </c>
      <c r="I7" s="126" t="e">
        <f>VLOOKUP(S7,DATOS!C30:K32,7,FALSE)</f>
        <v>#N/A</v>
      </c>
      <c r="J7" s="125" t="s">
        <v>4</v>
      </c>
      <c r="K7" s="127" t="e">
        <f>(0+I7/2)/SQRT(12)</f>
        <v>#N/A</v>
      </c>
      <c r="L7" s="125" t="s">
        <v>4</v>
      </c>
      <c r="M7" s="128" t="e">
        <f t="shared" ref="M7:M18" si="0">SQRT((I7/2)^2+(K7)^2)</f>
        <v>#N/A</v>
      </c>
      <c r="N7" s="125" t="s">
        <v>4</v>
      </c>
      <c r="O7" s="126" t="e">
        <f>VLOOKUP(S7,DATOS!C30:K32,8,FALSE)</f>
        <v>#N/A</v>
      </c>
      <c r="P7" s="123" t="e">
        <f>VLOOKUP(S7,DATOS!C30:K32,9,FALSE)</f>
        <v>#N/A</v>
      </c>
      <c r="Q7" s="899"/>
      <c r="R7" s="900"/>
      <c r="S7" s="314"/>
    </row>
    <row r="8" spans="1:21" ht="30" customHeight="1" x14ac:dyDescent="0.25">
      <c r="A8" s="1483" t="s">
        <v>95</v>
      </c>
      <c r="B8" s="130" t="e">
        <f>VLOOKUP($S$8,DATOS!$C$37:$K$44,3,FALSE)</f>
        <v>#N/A</v>
      </c>
      <c r="C8" s="131" t="e">
        <f>VLOOKUP(S8,DATOS!$C$37:$K$44,4,FALSE)</f>
        <v>#N/A</v>
      </c>
      <c r="D8" s="1047" t="s">
        <v>3</v>
      </c>
      <c r="E8" s="131" t="e">
        <f>VLOOKUP(S8,DATOS!$C$37:$K$44,5,FALSE)</f>
        <v>#N/A</v>
      </c>
      <c r="F8" s="133" t="s">
        <v>3</v>
      </c>
      <c r="G8" s="131" t="e">
        <f>VLOOKUP(S8,DATOS!$C$37:$K$44,6,FALSE)</f>
        <v>#N/A</v>
      </c>
      <c r="H8" s="133" t="s">
        <v>3</v>
      </c>
      <c r="I8" s="131" t="e">
        <f>VLOOKUP(S8,DATOS!$C$37:$K$44,7,FALSE)</f>
        <v>#N/A</v>
      </c>
      <c r="J8" s="133" t="s">
        <v>3</v>
      </c>
      <c r="K8" s="1046" t="e">
        <f>(I8/2)/SQRT(12)</f>
        <v>#N/A</v>
      </c>
      <c r="L8" s="133" t="s">
        <v>3</v>
      </c>
      <c r="M8" s="1043" t="e">
        <f t="shared" si="0"/>
        <v>#N/A</v>
      </c>
      <c r="N8" s="133" t="s">
        <v>3</v>
      </c>
      <c r="O8" s="136" t="e">
        <f>VLOOKUP(S8,DATOS!$C$37:$K$44,8,FALSE)</f>
        <v>#N/A</v>
      </c>
      <c r="P8" s="137" t="e">
        <f>VLOOKUP(S8,DATOS!$C$37:$K$44,9,FALSE)</f>
        <v>#N/A</v>
      </c>
      <c r="Q8" s="1073"/>
      <c r="R8" s="31"/>
      <c r="S8" s="1048"/>
    </row>
    <row r="9" spans="1:21" ht="30" customHeight="1" x14ac:dyDescent="0.25">
      <c r="A9" s="1487"/>
      <c r="B9" s="130" t="e">
        <f>VLOOKUP(S9,DATOS!$C$37:$K$44,3,FALSE)</f>
        <v>#N/A</v>
      </c>
      <c r="C9" s="131" t="e">
        <f>VLOOKUP(S9,DATOS!$C$37:$K$44,4,FALSE)</f>
        <v>#N/A</v>
      </c>
      <c r="D9" s="1047" t="s">
        <v>3</v>
      </c>
      <c r="E9" s="131" t="e">
        <f>VLOOKUP(S9,DATOS!$C$37:$K$44,5,FALSE)</f>
        <v>#N/A</v>
      </c>
      <c r="F9" s="133" t="s">
        <v>3</v>
      </c>
      <c r="G9" s="131" t="e">
        <f>VLOOKUP(S9,DATOS!$C$37:$K$44,6,FALSE)</f>
        <v>#N/A</v>
      </c>
      <c r="H9" s="133" t="s">
        <v>3</v>
      </c>
      <c r="I9" s="131" t="e">
        <f>VLOOKUP(S9,DATOS!$C$37:$K$44,7,FALSE)</f>
        <v>#N/A</v>
      </c>
      <c r="J9" s="133" t="s">
        <v>3</v>
      </c>
      <c r="K9" s="1046" t="e">
        <f t="shared" ref="K9:K18" si="1">(I9/2)/SQRT(12)</f>
        <v>#N/A</v>
      </c>
      <c r="L9" s="133" t="s">
        <v>3</v>
      </c>
      <c r="M9" s="1043" t="e">
        <f t="shared" si="0"/>
        <v>#N/A</v>
      </c>
      <c r="N9" s="133" t="s">
        <v>3</v>
      </c>
      <c r="O9" s="136" t="e">
        <f>VLOOKUP(S9,DATOS!$C$37:$K$44,8,FALSE)</f>
        <v>#N/A</v>
      </c>
      <c r="P9" s="137" t="e">
        <f>VLOOKUP(S9,DATOS!$C$37:$K$44,9,FALSE)</f>
        <v>#N/A</v>
      </c>
      <c r="Q9" s="901"/>
      <c r="R9" s="31"/>
      <c r="S9" s="535"/>
    </row>
    <row r="10" spans="1:21" s="6" customFormat="1" ht="30" customHeight="1" thickBot="1" x14ac:dyDescent="0.3">
      <c r="A10" s="1498"/>
      <c r="B10" s="130" t="e">
        <f>VLOOKUP(S10,DATOS!$C$37:$K$44,3,FALSE)</f>
        <v>#N/A</v>
      </c>
      <c r="C10" s="131" t="e">
        <f>VLOOKUP(S10,DATOS!$C$37:$K$44,4,FALSE)</f>
        <v>#N/A</v>
      </c>
      <c r="D10" s="1047" t="s">
        <v>3</v>
      </c>
      <c r="E10" s="131" t="e">
        <f>VLOOKUP(S10,DATOS!$C$37:$K$44,5,FALSE)</f>
        <v>#N/A</v>
      </c>
      <c r="F10" s="133" t="s">
        <v>316</v>
      </c>
      <c r="G10" s="131" t="e">
        <f>VLOOKUP(S10,DATOS!$C$37:$K$44,6,FALSE)</f>
        <v>#N/A</v>
      </c>
      <c r="H10" s="133" t="s">
        <v>3</v>
      </c>
      <c r="I10" s="131" t="e">
        <f>VLOOKUP(S10,DATOS!$C$37:$K$44,7,FALSE)</f>
        <v>#N/A</v>
      </c>
      <c r="J10" s="133" t="s">
        <v>3</v>
      </c>
      <c r="K10" s="1046" t="e">
        <f t="shared" si="1"/>
        <v>#N/A</v>
      </c>
      <c r="L10" s="133" t="s">
        <v>3</v>
      </c>
      <c r="M10" s="1043" t="e">
        <f t="shared" si="0"/>
        <v>#N/A</v>
      </c>
      <c r="N10" s="133" t="s">
        <v>3</v>
      </c>
      <c r="O10" s="136" t="e">
        <f>VLOOKUP(S10,DATOS!$C$37:$K$44,8,FALSE)</f>
        <v>#N/A</v>
      </c>
      <c r="P10" s="137" t="e">
        <f>VLOOKUP(S10,DATOS!$C$37:$K$44,9,FALSE)</f>
        <v>#N/A</v>
      </c>
      <c r="Q10" s="901"/>
      <c r="R10" s="31"/>
      <c r="S10" s="1049"/>
    </row>
    <row r="11" spans="1:21" s="6" customFormat="1" ht="30" customHeight="1" x14ac:dyDescent="0.25">
      <c r="A11" s="1483" t="s">
        <v>96</v>
      </c>
      <c r="B11" s="130" t="e">
        <f>VLOOKUP(S11,DATOS!$C$37:$K$44,3,FALSE)</f>
        <v>#N/A</v>
      </c>
      <c r="C11" s="131" t="e">
        <f>VLOOKUP(S11,DATOS!$C$37:$K$44,4,FALSE)</f>
        <v>#N/A</v>
      </c>
      <c r="D11" s="1047" t="s">
        <v>3</v>
      </c>
      <c r="E11" s="131" t="e">
        <f>VLOOKUP(S11,DATOS!$C$37:$K$44,5,FALSE)</f>
        <v>#N/A</v>
      </c>
      <c r="F11" s="133" t="s">
        <v>3</v>
      </c>
      <c r="G11" s="131" t="e">
        <f>VLOOKUP(S11,DATOS!$C$37:$K$44,6,FALSE)</f>
        <v>#N/A</v>
      </c>
      <c r="H11" s="133" t="s">
        <v>3</v>
      </c>
      <c r="I11" s="1055" t="e">
        <f>VLOOKUP(S11,DATOS!$C$37:$K$44,7,FALSE)</f>
        <v>#N/A</v>
      </c>
      <c r="J11" s="133" t="s">
        <v>3</v>
      </c>
      <c r="K11" s="1046" t="e">
        <f>(I11/2)/SQRT(12)</f>
        <v>#N/A</v>
      </c>
      <c r="L11" s="133" t="s">
        <v>3</v>
      </c>
      <c r="M11" s="1043" t="e">
        <f t="shared" ref="M11:M13" si="2">SQRT((I11/2)^2+(K11)^2)</f>
        <v>#N/A</v>
      </c>
      <c r="N11" s="133" t="s">
        <v>3</v>
      </c>
      <c r="O11" s="136" t="e">
        <f>VLOOKUP(S11,DATOS!$C$37:$K$44,8,FALSE)</f>
        <v>#N/A</v>
      </c>
      <c r="P11" s="137" t="e">
        <f>VLOOKUP(S11,DATOS!$C$37:$K$44,9,FALSE)</f>
        <v>#N/A</v>
      </c>
      <c r="Q11" s="901"/>
      <c r="R11" s="31"/>
      <c r="S11" s="1048"/>
    </row>
    <row r="12" spans="1:21" s="6" customFormat="1" ht="30" customHeight="1" x14ac:dyDescent="0.25">
      <c r="A12" s="1487"/>
      <c r="B12" s="130" t="e">
        <f>VLOOKUP(S12,DATOS!$C$37:$K$44,3,FALSE)</f>
        <v>#N/A</v>
      </c>
      <c r="C12" s="131" t="e">
        <f>VLOOKUP(S12,DATOS!$C$37:$K$44,4,FALSE)</f>
        <v>#N/A</v>
      </c>
      <c r="D12" s="1047" t="s">
        <v>3</v>
      </c>
      <c r="E12" s="131" t="e">
        <f>VLOOKUP(S12,DATOS!$C$37:$K$44,5,FALSE)</f>
        <v>#N/A</v>
      </c>
      <c r="F12" s="133" t="s">
        <v>3</v>
      </c>
      <c r="G12" s="131" t="e">
        <f>VLOOKUP(S12,DATOS!$C$37:$K$44,6,FALSE)</f>
        <v>#N/A</v>
      </c>
      <c r="H12" s="133" t="s">
        <v>3</v>
      </c>
      <c r="I12" s="1055" t="e">
        <f>VLOOKUP(S12,DATOS!$C$37:$K$44,7,FALSE)</f>
        <v>#N/A</v>
      </c>
      <c r="J12" s="133" t="s">
        <v>3</v>
      </c>
      <c r="K12" s="1046" t="e">
        <f t="shared" ref="K12:K13" si="3">(I12/2)/SQRT(12)</f>
        <v>#N/A</v>
      </c>
      <c r="L12" s="133" t="s">
        <v>3</v>
      </c>
      <c r="M12" s="1043" t="e">
        <f t="shared" si="2"/>
        <v>#N/A</v>
      </c>
      <c r="N12" s="133" t="s">
        <v>3</v>
      </c>
      <c r="O12" s="136" t="e">
        <f>VLOOKUP(S12,DATOS!$C$37:$K$44,8,FALSE)</f>
        <v>#N/A</v>
      </c>
      <c r="P12" s="137" t="e">
        <f>VLOOKUP(S12,DATOS!$C$37:$K$44,9,FALSE)</f>
        <v>#N/A</v>
      </c>
      <c r="Q12" s="1073"/>
      <c r="R12" s="31"/>
      <c r="S12" s="535"/>
    </row>
    <row r="13" spans="1:21" s="6" customFormat="1" ht="30" customHeight="1" thickBot="1" x14ac:dyDescent="0.3">
      <c r="A13" s="1484"/>
      <c r="B13" s="130" t="e">
        <f>VLOOKUP(S13,DATOS!$C$37:$K$44,3,FALSE)</f>
        <v>#N/A</v>
      </c>
      <c r="C13" s="131" t="e">
        <f>VLOOKUP(S13,DATOS!$C$37:$K$44,4,FALSE)</f>
        <v>#N/A</v>
      </c>
      <c r="D13" s="1047" t="s">
        <v>3</v>
      </c>
      <c r="E13" s="131" t="e">
        <f>VLOOKUP(S13,DATOS!$C$37:$K$44,5,FALSE)</f>
        <v>#N/A</v>
      </c>
      <c r="F13" s="133" t="s">
        <v>3</v>
      </c>
      <c r="G13" s="131" t="e">
        <f>VLOOKUP(S13,DATOS!$C$37:$K$44,6,FALSE)</f>
        <v>#N/A</v>
      </c>
      <c r="H13" s="133" t="s">
        <v>3</v>
      </c>
      <c r="I13" s="1055" t="e">
        <f>VLOOKUP(S13,DATOS!$C$37:$K$44,7,FALSE)</f>
        <v>#N/A</v>
      </c>
      <c r="J13" s="133" t="s">
        <v>3</v>
      </c>
      <c r="K13" s="1046" t="e">
        <f t="shared" si="3"/>
        <v>#N/A</v>
      </c>
      <c r="L13" s="133" t="s">
        <v>3</v>
      </c>
      <c r="M13" s="1043" t="e">
        <f t="shared" si="2"/>
        <v>#N/A</v>
      </c>
      <c r="N13" s="133" t="s">
        <v>3</v>
      </c>
      <c r="O13" s="136" t="e">
        <f>VLOOKUP(S13,DATOS!$C$37:$K$44,8,FALSE)</f>
        <v>#N/A</v>
      </c>
      <c r="P13" s="137" t="e">
        <f>VLOOKUP(S13,DATOS!$C$37:$K$44,9,FALSE)</f>
        <v>#N/A</v>
      </c>
      <c r="Q13" s="902"/>
      <c r="R13" s="31"/>
      <c r="S13" s="1049"/>
    </row>
    <row r="14" spans="1:21" s="6" customFormat="1" ht="29.25" customHeight="1" thickBot="1" x14ac:dyDescent="0.3">
      <c r="A14" s="1045" t="s">
        <v>242</v>
      </c>
      <c r="B14" s="136" t="e">
        <f>VLOOKUP(S14,DATOS!$C$107:$K$112,3,FALSE)</f>
        <v>#N/A</v>
      </c>
      <c r="C14" s="1055" t="e">
        <f>VLOOKUP(S14,DATOS!$C$107:$K$112,4,FALSE)</f>
        <v>#N/A</v>
      </c>
      <c r="D14" s="1047" t="s">
        <v>4</v>
      </c>
      <c r="E14" s="1055" t="e">
        <f>VLOOKUP(S14,DATOS!$C$107:$K$112,5,FALSE)</f>
        <v>#N/A</v>
      </c>
      <c r="F14" s="1047" t="s">
        <v>4</v>
      </c>
      <c r="G14" s="1055" t="e">
        <f>VLOOKUP(S14,DATOS!$C$107:$K$112,6,FALSE)</f>
        <v>#N/A</v>
      </c>
      <c r="H14" s="1047" t="s">
        <v>4</v>
      </c>
      <c r="I14" s="1055" t="e">
        <f>VLOOKUP(S14,DATOS!$C$107:$K$112,7,FALSE)</f>
        <v>#N/A</v>
      </c>
      <c r="J14" s="1047" t="s">
        <v>4</v>
      </c>
      <c r="K14" s="1046" t="e">
        <f>(I14/2)/SQRT(12)</f>
        <v>#N/A</v>
      </c>
      <c r="L14" s="1047" t="s">
        <v>4</v>
      </c>
      <c r="M14" s="1043" t="e">
        <f t="shared" si="0"/>
        <v>#N/A</v>
      </c>
      <c r="N14" s="1047" t="s">
        <v>4</v>
      </c>
      <c r="O14" s="136" t="e">
        <f>VLOOKUP(S14,DATOS!$C$107:$K$112,8,FALSE)</f>
        <v>#N/A</v>
      </c>
      <c r="P14" s="137" t="e">
        <f>VLOOKUP(S14,DATOS!$C$107:$K$112,9,FALSE)</f>
        <v>#N/A</v>
      </c>
      <c r="Q14" s="142"/>
      <c r="R14" s="3"/>
      <c r="S14" s="536"/>
    </row>
    <row r="15" spans="1:21" s="6" customFormat="1" ht="30" customHeight="1" x14ac:dyDescent="0.25">
      <c r="A15" s="1483" t="s">
        <v>243</v>
      </c>
      <c r="B15" s="1503" t="e">
        <f>VLOOKUP(S15,DATOS!$C$116:$K$122,3,FALSE)</f>
        <v>#N/A</v>
      </c>
      <c r="C15" s="1485" t="e">
        <f>VLOOKUP(S15,DATOS!$C$116:$K$122,4,FALSE)</f>
        <v>#N/A</v>
      </c>
      <c r="D15" s="1501" t="s">
        <v>4</v>
      </c>
      <c r="E15" s="1503" t="e">
        <f>VLOOKUP(S15,DATOS!$C$116:$K$122,5,FALSE)</f>
        <v>#N/A</v>
      </c>
      <c r="F15" s="1501" t="s">
        <v>4</v>
      </c>
      <c r="G15" s="1485" t="e">
        <f>VLOOKUP(S15,DATOS!$C$116:$K$122,6,FALSE)</f>
        <v>#N/A</v>
      </c>
      <c r="H15" s="1501" t="s">
        <v>4</v>
      </c>
      <c r="I15" s="1499" t="e">
        <f>VLOOKUP(S15,DATOS!$C$116:$K$122,7,FALSE)</f>
        <v>#N/A</v>
      </c>
      <c r="J15" s="1501" t="s">
        <v>4</v>
      </c>
      <c r="K15" s="1502" t="e">
        <f t="shared" si="1"/>
        <v>#N/A</v>
      </c>
      <c r="L15" s="1511" t="s">
        <v>4</v>
      </c>
      <c r="M15" s="1522" t="e">
        <f t="shared" si="0"/>
        <v>#N/A</v>
      </c>
      <c r="N15" s="1511" t="s">
        <v>4</v>
      </c>
      <c r="O15" s="1503" t="e">
        <f>VLOOKUP(S15,DATOS!$C$116:$K$122,8,FALSE)</f>
        <v>#N/A</v>
      </c>
      <c r="P15" s="1507" t="e">
        <f>VLOOKUP(S15,DATOS!$C$116:$K$122,9,FALSE)</f>
        <v>#N/A</v>
      </c>
      <c r="Q15" s="1074">
        <v>50</v>
      </c>
      <c r="R15" s="1038">
        <v>50.14</v>
      </c>
      <c r="S15" s="1512"/>
    </row>
    <row r="16" spans="1:21" s="6" customFormat="1" ht="30" customHeight="1" thickBot="1" x14ac:dyDescent="0.3">
      <c r="A16" s="1484"/>
      <c r="B16" s="1504"/>
      <c r="C16" s="1486"/>
      <c r="D16" s="1501"/>
      <c r="E16" s="1504"/>
      <c r="F16" s="1501"/>
      <c r="G16" s="1486"/>
      <c r="H16" s="1501"/>
      <c r="I16" s="1500"/>
      <c r="J16" s="1501"/>
      <c r="K16" s="1502"/>
      <c r="L16" s="1511"/>
      <c r="M16" s="1522"/>
      <c r="N16" s="1511"/>
      <c r="O16" s="1504"/>
      <c r="P16" s="1508"/>
      <c r="Q16" s="1075">
        <v>500</v>
      </c>
      <c r="R16" s="1038">
        <v>499.68</v>
      </c>
      <c r="S16" s="1513"/>
    </row>
    <row r="17" spans="1:19" s="4" customFormat="1" ht="30" customHeight="1" thickBot="1" x14ac:dyDescent="0.3">
      <c r="A17" s="144" t="s">
        <v>97</v>
      </c>
      <c r="B17" s="136" t="e">
        <f>VLOOKUP(S17,DATOS!$C$126:$K$127,3,FALSE)</f>
        <v>#N/A</v>
      </c>
      <c r="C17" s="136" t="e">
        <f>VLOOKUP(S17,DATOS!$C$126:$K$127,4,FALSE)</f>
        <v>#N/A</v>
      </c>
      <c r="D17" s="1047" t="s">
        <v>240</v>
      </c>
      <c r="E17" s="145" t="e">
        <f>VLOOKUP(S17,DATOS!$C$126:$K$127,5,FALSE)</f>
        <v>#N/A</v>
      </c>
      <c r="F17" s="1047" t="s">
        <v>240</v>
      </c>
      <c r="G17" s="131" t="e">
        <f>VLOOKUP(S17,DATOS!$C$126:$K$127,6,FALSE)</f>
        <v>#N/A</v>
      </c>
      <c r="H17" s="1047" t="s">
        <v>240</v>
      </c>
      <c r="I17" s="146" t="e">
        <f>VLOOKUP(S17,DATOS!$C$126:$K$127,7,FALSE)</f>
        <v>#N/A</v>
      </c>
      <c r="J17" s="1047" t="s">
        <v>240</v>
      </c>
      <c r="K17" s="147" t="e">
        <f t="shared" si="1"/>
        <v>#N/A</v>
      </c>
      <c r="L17" s="1047" t="s">
        <v>240</v>
      </c>
      <c r="M17" s="1043" t="e">
        <f t="shared" si="0"/>
        <v>#N/A</v>
      </c>
      <c r="N17" s="1043" t="s">
        <v>240</v>
      </c>
      <c r="O17" s="141" t="e">
        <f>VLOOKUP(S17,DATOS!$C$126:$K$127,8,FALSE)</f>
        <v>#N/A</v>
      </c>
      <c r="P17" s="137" t="e">
        <f>VLOOKUP(S17,DATOS!$C$126:$K$127,9,FALSE)</f>
        <v>#N/A</v>
      </c>
      <c r="Q17" s="148"/>
      <c r="R17" s="149"/>
      <c r="S17" s="314"/>
    </row>
    <row r="18" spans="1:19" s="6" customFormat="1" ht="30" customHeight="1" thickBot="1" x14ac:dyDescent="0.3">
      <c r="A18" s="119" t="s">
        <v>98</v>
      </c>
      <c r="B18" s="150" t="e">
        <f>VLOOKUP(S18,DATOS!$C$132:$K$147,3,FALSE)</f>
        <v>#N/A</v>
      </c>
      <c r="C18" s="150" t="e">
        <f>VLOOKUP(S18,DATOS!$C$132:$K$147,4,FALSE)</f>
        <v>#N/A</v>
      </c>
      <c r="D18" s="151" t="s">
        <v>217</v>
      </c>
      <c r="E18" s="1056" t="e">
        <f>VLOOKUP(S18,DATOS!$C$132:$K$147,5,FALSE)</f>
        <v>#N/A</v>
      </c>
      <c r="F18" s="151" t="s">
        <v>217</v>
      </c>
      <c r="G18" s="1056" t="e">
        <f>VLOOKUP(S18,DATOS!$C$132:$K$147,6,FALSE)</f>
        <v>#N/A</v>
      </c>
      <c r="H18" s="151" t="s">
        <v>217</v>
      </c>
      <c r="I18" s="531" t="e">
        <f>VLOOKUP(S18,DATOS!$C$132:$K$147,7,FALSE)</f>
        <v>#N/A</v>
      </c>
      <c r="J18" s="151" t="s">
        <v>217</v>
      </c>
      <c r="K18" s="152" t="e">
        <f t="shared" si="1"/>
        <v>#N/A</v>
      </c>
      <c r="L18" s="151" t="s">
        <v>217</v>
      </c>
      <c r="M18" s="153" t="e">
        <f t="shared" si="0"/>
        <v>#N/A</v>
      </c>
      <c r="N18" s="151" t="s">
        <v>217</v>
      </c>
      <c r="O18" s="150" t="e">
        <f>VLOOKUP(S18,DATOS!$C$132:$K$147,8,FALSE)</f>
        <v>#N/A</v>
      </c>
      <c r="P18" s="154" t="e">
        <f>VLOOKUP(S18,DATOS!$C$132:$K$147,9,FALSE)</f>
        <v>#N/A</v>
      </c>
      <c r="Q18" s="155"/>
      <c r="R18" s="156"/>
      <c r="S18" s="1049"/>
    </row>
    <row r="19" spans="1:19" s="10" customFormat="1" ht="30" customHeight="1" thickBot="1" x14ac:dyDescent="0.3">
      <c r="A19" s="157"/>
      <c r="B19" s="158"/>
      <c r="C19" s="158"/>
      <c r="D19" s="158"/>
      <c r="E19" s="8"/>
      <c r="F19" s="158"/>
      <c r="G19" s="8"/>
      <c r="H19" s="158"/>
      <c r="I19" s="8"/>
      <c r="J19" s="8"/>
      <c r="K19" s="8"/>
      <c r="L19" s="8"/>
      <c r="M19" s="8"/>
      <c r="N19" s="8"/>
      <c r="O19" s="8"/>
      <c r="P19" s="8"/>
      <c r="Q19" s="8"/>
      <c r="R19" s="8"/>
    </row>
    <row r="20" spans="1:19" ht="30" customHeight="1" thickBot="1" x14ac:dyDescent="0.3">
      <c r="A20" s="32"/>
      <c r="B20" s="1442" t="s">
        <v>99</v>
      </c>
      <c r="C20" s="1443"/>
      <c r="D20" s="1443"/>
      <c r="E20" s="1443"/>
      <c r="F20" s="1443"/>
      <c r="G20" s="1444"/>
      <c r="H20" s="159"/>
      <c r="I20" s="1442" t="s">
        <v>100</v>
      </c>
      <c r="J20" s="1443"/>
      <c r="K20" s="1443"/>
      <c r="L20" s="1443"/>
      <c r="M20" s="1443"/>
      <c r="N20" s="1443"/>
      <c r="O20" s="1443"/>
      <c r="P20" s="1443"/>
      <c r="Q20" s="1443"/>
      <c r="R20" s="1444"/>
    </row>
    <row r="21" spans="1:19" ht="30" customHeight="1" thickBot="1" x14ac:dyDescent="0.3">
      <c r="A21" s="32"/>
      <c r="B21" s="1545" t="s">
        <v>101</v>
      </c>
      <c r="C21" s="1543"/>
      <c r="D21" s="1542" t="s">
        <v>1</v>
      </c>
      <c r="E21" s="1543"/>
      <c r="F21" s="1542" t="s">
        <v>0</v>
      </c>
      <c r="G21" s="1544"/>
      <c r="H21" s="159"/>
      <c r="I21" s="1536" t="s">
        <v>92</v>
      </c>
      <c r="J21" s="1538" t="s">
        <v>61</v>
      </c>
      <c r="K21" s="1538" t="s">
        <v>62</v>
      </c>
      <c r="L21" s="1538" t="s">
        <v>221</v>
      </c>
      <c r="M21" s="1520" t="s">
        <v>102</v>
      </c>
      <c r="O21" s="1540" t="s">
        <v>103</v>
      </c>
      <c r="P21" s="1523" t="s">
        <v>104</v>
      </c>
      <c r="Q21" s="1525" t="s">
        <v>105</v>
      </c>
      <c r="R21" s="1525" t="s">
        <v>567</v>
      </c>
    </row>
    <row r="22" spans="1:19" ht="30" customHeight="1" thickBot="1" x14ac:dyDescent="0.3">
      <c r="A22" s="314"/>
      <c r="B22" s="1514" t="s">
        <v>54</v>
      </c>
      <c r="C22" s="1515"/>
      <c r="D22" s="1043" t="e">
        <f>VLOOKUP($A$22,DATOS!$B$24:$M$26,2,FALSE)</f>
        <v>#N/A</v>
      </c>
      <c r="E22" s="1043"/>
      <c r="F22" s="1043" t="e">
        <f>VLOOKUP($H$22,DATOS!$B$14:$N$16,2,FALSE)</f>
        <v>#N/A</v>
      </c>
      <c r="G22" s="160"/>
      <c r="H22" s="314"/>
      <c r="I22" s="1537"/>
      <c r="J22" s="1539"/>
      <c r="K22" s="1539"/>
      <c r="L22" s="1539"/>
      <c r="M22" s="1521"/>
      <c r="O22" s="1541"/>
      <c r="P22" s="1524"/>
      <c r="Q22" s="1526"/>
      <c r="R22" s="1526"/>
    </row>
    <row r="23" spans="1:19" ht="30" customHeight="1" x14ac:dyDescent="0.25">
      <c r="A23" s="32"/>
      <c r="B23" s="1514" t="s">
        <v>55</v>
      </c>
      <c r="C23" s="1515"/>
      <c r="D23" s="1043" t="e">
        <f>VLOOKUP($A$22,DATOS!$B$24:$M$26,3,FALSE)</f>
        <v>#N/A</v>
      </c>
      <c r="E23" s="1043"/>
      <c r="F23" s="1043" t="e">
        <f>VLOOKUP($H$22,DATOS!$B$14:$N$16,3,FALSE)</f>
        <v>#N/A</v>
      </c>
      <c r="G23" s="160"/>
      <c r="I23" s="1035" t="s">
        <v>108</v>
      </c>
      <c r="J23" s="1043">
        <v>3.7854109999999999</v>
      </c>
      <c r="K23" s="1043">
        <f>(J23/J25)*1000</f>
        <v>3785.4110000000001</v>
      </c>
      <c r="L23" s="1043">
        <f>(K23*K26)/K24</f>
        <v>231.00000854332629</v>
      </c>
      <c r="M23" s="160">
        <v>5</v>
      </c>
      <c r="N23" s="11"/>
      <c r="O23" s="1059" t="e">
        <f>O26/K23</f>
        <v>#N/A</v>
      </c>
      <c r="P23" s="128" t="e">
        <f>P26/K23</f>
        <v>#N/A</v>
      </c>
      <c r="Q23" s="1060" t="e">
        <f>P23-O23</f>
        <v>#N/A</v>
      </c>
      <c r="R23" s="1076" t="e">
        <f>ABS(Q23)</f>
        <v>#N/A</v>
      </c>
    </row>
    <row r="24" spans="1:19" ht="30" customHeight="1" x14ac:dyDescent="0.25">
      <c r="A24" s="32"/>
      <c r="B24" s="1514" t="s">
        <v>29</v>
      </c>
      <c r="C24" s="1515"/>
      <c r="D24" s="1043" t="e">
        <f>VLOOKUP($A$22,DATOS!$B$24:$M$26,4,FALSE)</f>
        <v>#N/A</v>
      </c>
      <c r="E24" s="1043"/>
      <c r="F24" s="1043" t="e">
        <f>VLOOKUP($H$22,DATOS!$B$14:$N$16,4,FALSE)</f>
        <v>#N/A</v>
      </c>
      <c r="G24" s="160"/>
      <c r="I24" s="1035" t="s">
        <v>222</v>
      </c>
      <c r="J24" s="1043">
        <v>1.6387059999999998E-2</v>
      </c>
      <c r="K24" s="1043">
        <f>(J24/J25)*1000</f>
        <v>16.387059999999998</v>
      </c>
      <c r="L24" s="1043">
        <v>1</v>
      </c>
      <c r="M24" s="162">
        <f>L23*M23</f>
        <v>1155.0000427166315</v>
      </c>
      <c r="O24" s="163" t="e">
        <f>O26/K24</f>
        <v>#N/A</v>
      </c>
      <c r="P24" s="1043" t="e">
        <f>(P26*L24)/K24</f>
        <v>#N/A</v>
      </c>
      <c r="Q24" s="1058" t="e">
        <f>P24-O24</f>
        <v>#N/A</v>
      </c>
      <c r="R24" s="1077" t="e">
        <f t="shared" ref="R24:R25" si="4">ABS(Q24)</f>
        <v>#N/A</v>
      </c>
    </row>
    <row r="25" spans="1:19" ht="30" customHeight="1" x14ac:dyDescent="0.25">
      <c r="A25" s="32"/>
      <c r="B25" s="1514" t="s">
        <v>111</v>
      </c>
      <c r="C25" s="1515"/>
      <c r="D25" s="1043" t="e">
        <f>VLOOKUP($A$22,DATOS!$B$24:$M$26,5,FALSE)</f>
        <v>#N/A</v>
      </c>
      <c r="E25" s="1043" t="s">
        <v>3</v>
      </c>
      <c r="F25" s="1043" t="e">
        <f>VLOOKUP($H$22,DATOS!$B$14:$N$16,5,FALSE)</f>
        <v>#N/A</v>
      </c>
      <c r="G25" s="160" t="s">
        <v>3</v>
      </c>
      <c r="I25" s="1035" t="s">
        <v>25</v>
      </c>
      <c r="J25" s="1043">
        <v>1</v>
      </c>
      <c r="K25" s="1043">
        <f>(J25/J25)*1000</f>
        <v>1000</v>
      </c>
      <c r="L25" s="1043">
        <f>J24</f>
        <v>1.6387059999999998E-2</v>
      </c>
      <c r="M25" s="164">
        <f>J23*M23</f>
        <v>18.927054999999999</v>
      </c>
      <c r="O25" s="165" t="e">
        <f>O26/K25</f>
        <v>#N/A</v>
      </c>
      <c r="P25" s="1043" t="e">
        <f>(P26*J25)/K25</f>
        <v>#N/A</v>
      </c>
      <c r="Q25" s="1058" t="e">
        <f>P25-O25</f>
        <v>#N/A</v>
      </c>
      <c r="R25" s="1077" t="e">
        <f t="shared" si="4"/>
        <v>#N/A</v>
      </c>
    </row>
    <row r="26" spans="1:19" ht="30" customHeight="1" x14ac:dyDescent="0.25">
      <c r="A26" s="32"/>
      <c r="B26" s="1514" t="s">
        <v>60</v>
      </c>
      <c r="C26" s="1515"/>
      <c r="D26" s="1043" t="e">
        <f>VLOOKUP($A$22,DATOS!$B$24:$M$26,6,FALSE)</f>
        <v>#N/A</v>
      </c>
      <c r="E26" s="1043" t="s">
        <v>9</v>
      </c>
      <c r="F26" s="1043" t="e">
        <f>VLOOKUP($H$22,DATOS!$B$14:$N$16,6,FALSE)</f>
        <v>#N/A</v>
      </c>
      <c r="G26" s="160" t="s">
        <v>9</v>
      </c>
      <c r="I26" s="1035" t="s">
        <v>26</v>
      </c>
      <c r="J26" s="1043">
        <v>1E-3</v>
      </c>
      <c r="K26" s="1043">
        <f>(J26/J25)*1000</f>
        <v>1</v>
      </c>
      <c r="L26" s="1043">
        <f>K24</f>
        <v>16.387059999999998</v>
      </c>
      <c r="M26" s="162">
        <f>K23*M23</f>
        <v>18927.055</v>
      </c>
      <c r="O26" s="163" t="e">
        <f>C7</f>
        <v>#N/A</v>
      </c>
      <c r="P26" s="166" t="e">
        <f>H56</f>
        <v>#N/A</v>
      </c>
      <c r="Q26" s="1058" t="e">
        <f>P26-O26</f>
        <v>#N/A</v>
      </c>
      <c r="R26" s="1077" t="e">
        <f>ABS(Q26)</f>
        <v>#N/A</v>
      </c>
    </row>
    <row r="27" spans="1:19" ht="30" customHeight="1" thickBot="1" x14ac:dyDescent="0.3">
      <c r="A27" s="32"/>
      <c r="B27" s="1514" t="s">
        <v>113</v>
      </c>
      <c r="C27" s="1515"/>
      <c r="D27" s="1043" t="e">
        <f>VLOOKUP($A$22,DATOS!$B$24:$M$26,7,FALSE)</f>
        <v>#N/A</v>
      </c>
      <c r="E27" s="1043" t="s">
        <v>4</v>
      </c>
      <c r="F27" s="1043" t="e">
        <f>VLOOKUP($H$22,DATOS!$B$14:$N$16,7,FALSE)</f>
        <v>#N/A</v>
      </c>
      <c r="G27" s="160" t="s">
        <v>4</v>
      </c>
      <c r="I27" s="1052" t="s">
        <v>223</v>
      </c>
      <c r="J27" s="153">
        <v>1E-3</v>
      </c>
      <c r="K27" s="153">
        <f>(J27/J25)*1000</f>
        <v>1</v>
      </c>
      <c r="L27" s="153">
        <f>(J24*K27)/J27</f>
        <v>16.387059999999998</v>
      </c>
      <c r="M27" s="167">
        <f>K23*M23</f>
        <v>18927.055</v>
      </c>
      <c r="O27" s="168" t="e">
        <f>O26</f>
        <v>#N/A</v>
      </c>
      <c r="P27" s="994" t="e">
        <f>P26</f>
        <v>#N/A</v>
      </c>
      <c r="Q27" s="1061" t="e">
        <f>P27-O27</f>
        <v>#N/A</v>
      </c>
      <c r="R27" s="1078" t="e">
        <f>ABS(Q27)</f>
        <v>#N/A</v>
      </c>
    </row>
    <row r="28" spans="1:19" ht="30" customHeight="1" thickBot="1" x14ac:dyDescent="0.3">
      <c r="A28" s="32"/>
      <c r="B28" s="1514" t="s">
        <v>51</v>
      </c>
      <c r="C28" s="1515"/>
      <c r="D28" s="1043" t="e">
        <f>VLOOKUP($A$22,DATOS!$B$24:$M$26,8,FALSE)</f>
        <v>#N/A</v>
      </c>
      <c r="E28" s="1043" t="s">
        <v>4</v>
      </c>
      <c r="F28" s="1043" t="e">
        <f>VLOOKUP($H$22,DATOS!$B$14:$N$16,8,FALSE)</f>
        <v>#N/A</v>
      </c>
      <c r="G28" s="160" t="s">
        <v>4</v>
      </c>
      <c r="Q28" s="10"/>
      <c r="R28" s="10"/>
    </row>
    <row r="29" spans="1:19" ht="30" customHeight="1" thickBot="1" x14ac:dyDescent="0.3">
      <c r="A29" s="32"/>
      <c r="B29" s="1514" t="s">
        <v>116</v>
      </c>
      <c r="C29" s="1515"/>
      <c r="D29" s="1043" t="e">
        <f>VLOOKUP($A$22,DATOS!$B$24:$M$26,9,FALSE)</f>
        <v>#N/A</v>
      </c>
      <c r="E29" s="1043" t="s">
        <v>226</v>
      </c>
      <c r="F29" s="1043" t="e">
        <f>VLOOKUP($H$22,DATOS!$B$14:$N$16,9,FALSE)</f>
        <v>#N/A</v>
      </c>
      <c r="G29" s="160" t="s">
        <v>226</v>
      </c>
      <c r="I29" s="1458" t="s">
        <v>109</v>
      </c>
      <c r="J29" s="1459"/>
      <c r="K29" s="1456"/>
      <c r="L29" s="1457"/>
      <c r="N29" s="1458" t="s">
        <v>110</v>
      </c>
      <c r="O29" s="1459"/>
      <c r="P29" s="1456"/>
      <c r="Q29" s="1457"/>
      <c r="R29" s="10"/>
    </row>
    <row r="30" spans="1:19" ht="30" customHeight="1" thickBot="1" x14ac:dyDescent="0.3">
      <c r="A30" s="32"/>
      <c r="B30" s="1514" t="s">
        <v>117</v>
      </c>
      <c r="C30" s="1515"/>
      <c r="D30" s="1043" t="e">
        <f>VLOOKUP($A$22,DATOS!$B$24:$M$26,10,FALSE)</f>
        <v>#N/A</v>
      </c>
      <c r="E30" s="1043" t="s">
        <v>13</v>
      </c>
      <c r="F30" s="1043" t="e">
        <f>VLOOKUP($H$22,DATOS!$B$14:$N$16,10,FALSE)</f>
        <v>#N/A</v>
      </c>
      <c r="G30" s="160" t="s">
        <v>13</v>
      </c>
      <c r="Q30" s="9"/>
      <c r="R30" s="9"/>
    </row>
    <row r="31" spans="1:19" ht="30" customHeight="1" thickBot="1" x14ac:dyDescent="0.3">
      <c r="A31" s="32"/>
      <c r="B31" s="1514" t="s">
        <v>118</v>
      </c>
      <c r="C31" s="1515"/>
      <c r="D31" s="1043" t="e">
        <f>VLOOKUP($A$22,DATOS!$B$24:$M$26,11,FALSE)</f>
        <v>#N/A</v>
      </c>
      <c r="E31" s="1043" t="s">
        <v>13</v>
      </c>
      <c r="F31" s="1043" t="e">
        <f>VLOOKUP($H$22,DATOS!$B$14:$N$16,11,FALSE)</f>
        <v>#N/A</v>
      </c>
      <c r="G31" s="160" t="s">
        <v>13</v>
      </c>
      <c r="I31" s="1468" t="s">
        <v>541</v>
      </c>
      <c r="J31" s="1469"/>
      <c r="K31" s="1469"/>
      <c r="L31" s="1469"/>
      <c r="M31" s="1469"/>
      <c r="N31" s="1469"/>
      <c r="O31" s="1469"/>
      <c r="P31" s="1469"/>
      <c r="Q31" s="963" t="s">
        <v>504</v>
      </c>
      <c r="R31" s="9"/>
    </row>
    <row r="32" spans="1:19" ht="30" customHeight="1" thickBot="1" x14ac:dyDescent="0.3">
      <c r="A32" s="32"/>
      <c r="B32" s="1518" t="s">
        <v>238</v>
      </c>
      <c r="C32" s="1519"/>
      <c r="D32" s="904" t="e">
        <f>VLOOKUP($A$22,DATOS!$B$24:$M$26,12,FALSE)</f>
        <v>#N/A</v>
      </c>
      <c r="E32" s="904" t="s">
        <v>488</v>
      </c>
      <c r="F32" s="904" t="e">
        <f>D32</f>
        <v>#N/A</v>
      </c>
      <c r="G32" s="160" t="s">
        <v>226</v>
      </c>
      <c r="I32" s="1527" t="s">
        <v>112</v>
      </c>
      <c r="J32" s="1528"/>
      <c r="K32" s="1529"/>
      <c r="L32" s="1530" t="s">
        <v>22</v>
      </c>
      <c r="M32" s="1531"/>
      <c r="N32" s="1532"/>
      <c r="O32" s="1041" t="s">
        <v>23</v>
      </c>
      <c r="P32" s="905" t="s">
        <v>15</v>
      </c>
      <c r="Q32" s="1071"/>
      <c r="R32" s="9"/>
    </row>
    <row r="33" spans="1:26" ht="30" customHeight="1" thickBot="1" x14ac:dyDescent="0.3">
      <c r="A33" s="32"/>
      <c r="B33" s="1516" t="s">
        <v>114</v>
      </c>
      <c r="C33" s="1517"/>
      <c r="D33" s="153">
        <f>K56</f>
        <v>-6.2863206736149993E-5</v>
      </c>
      <c r="E33" s="153" t="s">
        <v>226</v>
      </c>
      <c r="F33" s="153">
        <f>D33</f>
        <v>-6.2863206736149993E-5</v>
      </c>
      <c r="G33" s="170" t="s">
        <v>226</v>
      </c>
      <c r="I33" s="1461" t="s">
        <v>542</v>
      </c>
      <c r="J33" s="1462"/>
      <c r="K33" s="297"/>
      <c r="L33" s="1461" t="s">
        <v>542</v>
      </c>
      <c r="M33" s="1462"/>
      <c r="N33" s="299"/>
      <c r="O33" s="171" t="e">
        <f>AVERAGE(K33,N33)</f>
        <v>#DIV/0!</v>
      </c>
      <c r="P33" s="965" t="e">
        <f>O33+(0.0074*O33-0.2067)</f>
        <v>#DIV/0!</v>
      </c>
    </row>
    <row r="34" spans="1:26" ht="30" customHeight="1" thickBot="1" x14ac:dyDescent="0.3">
      <c r="A34" s="32"/>
      <c r="I34" s="1461" t="s">
        <v>543</v>
      </c>
      <c r="J34" s="1462"/>
      <c r="K34" s="297"/>
      <c r="L34" s="1461" t="s">
        <v>543</v>
      </c>
      <c r="M34" s="1462"/>
      <c r="N34" s="299"/>
      <c r="O34" s="171" t="e">
        <f>AVERAGE(K34,N34)</f>
        <v>#DIV/0!</v>
      </c>
      <c r="P34" s="965" t="e">
        <f>O34+(0.1346*O34-7.6712)</f>
        <v>#DIV/0!</v>
      </c>
    </row>
    <row r="35" spans="1:26" ht="30" customHeight="1" thickBot="1" x14ac:dyDescent="0.3">
      <c r="A35" s="32"/>
      <c r="B35" s="1458" t="s">
        <v>264</v>
      </c>
      <c r="C35" s="1459"/>
      <c r="D35" s="1533" t="e">
        <f>VLOOKUP(H35,DATOS!O5:P9,2,FALSE)</f>
        <v>#N/A</v>
      </c>
      <c r="E35" s="1534"/>
      <c r="F35" s="1534"/>
      <c r="G35" s="1535"/>
      <c r="H35" s="314"/>
      <c r="I35" s="1466" t="s">
        <v>544</v>
      </c>
      <c r="J35" s="1467"/>
      <c r="K35" s="298"/>
      <c r="L35" s="1466" t="s">
        <v>544</v>
      </c>
      <c r="M35" s="1467"/>
      <c r="N35" s="298"/>
      <c r="O35" s="172" t="e">
        <f>AVERAGE(K35,N35)</f>
        <v>#DIV/0!</v>
      </c>
      <c r="P35" s="965" t="e">
        <f>O35+(0.0023*O35-2.2532)</f>
        <v>#DIV/0!</v>
      </c>
    </row>
    <row r="36" spans="1:26" s="6" customFormat="1" ht="30" customHeight="1" thickBot="1" x14ac:dyDescent="0.3">
      <c r="A36" s="173"/>
      <c r="B36" s="174"/>
      <c r="C36" s="174"/>
      <c r="D36" s="175"/>
      <c r="E36" s="175"/>
      <c r="F36" s="175"/>
      <c r="G36" s="175"/>
      <c r="H36" s="175"/>
      <c r="I36" s="176"/>
      <c r="J36" s="176"/>
      <c r="K36" s="174"/>
      <c r="L36" s="175"/>
      <c r="M36" s="176"/>
      <c r="N36" s="176"/>
      <c r="O36" s="174"/>
      <c r="P36" s="175"/>
      <c r="Q36" s="177"/>
      <c r="R36" s="177"/>
      <c r="S36" s="2"/>
    </row>
    <row r="37" spans="1:26" s="6" customFormat="1" ht="30" customHeight="1" thickBot="1" x14ac:dyDescent="0.3">
      <c r="A37" s="173"/>
      <c r="B37" s="10"/>
      <c r="C37" s="1468" t="s">
        <v>119</v>
      </c>
      <c r="D37" s="1469"/>
      <c r="E37" s="1469"/>
      <c r="F37" s="1469"/>
      <c r="G37" s="1469"/>
      <c r="H37" s="1469"/>
      <c r="I37" s="1469"/>
      <c r="J37" s="1469"/>
      <c r="K37" s="1469"/>
      <c r="L37" s="1469"/>
      <c r="M37" s="1469"/>
      <c r="N37" s="1470"/>
      <c r="O37" s="4"/>
      <c r="P37" s="1475" t="s">
        <v>363</v>
      </c>
      <c r="Q37" s="1476"/>
      <c r="R37" s="1476"/>
      <c r="S37" s="1477"/>
    </row>
    <row r="38" spans="1:26" s="6" customFormat="1" ht="30" customHeight="1" x14ac:dyDescent="0.25">
      <c r="A38" s="173"/>
      <c r="B38" s="10"/>
      <c r="C38" s="1471" t="s">
        <v>120</v>
      </c>
      <c r="D38" s="1472"/>
      <c r="E38" s="1472"/>
      <c r="F38" s="1472"/>
      <c r="G38" s="1473"/>
      <c r="H38" s="10"/>
      <c r="I38" s="1463" t="s">
        <v>121</v>
      </c>
      <c r="J38" s="1464"/>
      <c r="K38" s="1464"/>
      <c r="L38" s="1464"/>
      <c r="M38" s="1464"/>
      <c r="N38" s="1465"/>
      <c r="O38" s="4"/>
      <c r="P38" s="1010"/>
      <c r="Q38" s="1011"/>
      <c r="R38" s="1011"/>
      <c r="S38" s="1012"/>
    </row>
    <row r="39" spans="1:26" s="6" customFormat="1" ht="48" customHeight="1" x14ac:dyDescent="0.25">
      <c r="A39" s="173"/>
      <c r="B39" s="1035" t="s">
        <v>122</v>
      </c>
      <c r="C39" s="1036" t="s">
        <v>123</v>
      </c>
      <c r="D39" s="1188" t="s">
        <v>480</v>
      </c>
      <c r="E39" s="1036" t="s">
        <v>124</v>
      </c>
      <c r="F39" s="1036" t="s">
        <v>125</v>
      </c>
      <c r="G39" s="71" t="s">
        <v>126</v>
      </c>
      <c r="H39" s="10"/>
      <c r="I39" s="179" t="s">
        <v>123</v>
      </c>
      <c r="J39" s="179" t="s">
        <v>480</v>
      </c>
      <c r="K39" s="179" t="s">
        <v>124</v>
      </c>
      <c r="L39" s="179" t="s">
        <v>125</v>
      </c>
      <c r="M39" s="179" t="s">
        <v>126</v>
      </c>
      <c r="N39" s="180" t="s">
        <v>545</v>
      </c>
      <c r="O39" s="4"/>
      <c r="P39" s="305"/>
      <c r="Q39" s="306"/>
      <c r="R39" s="306"/>
      <c r="S39" s="307"/>
    </row>
    <row r="40" spans="1:26" s="6" customFormat="1" ht="30" customHeight="1" x14ac:dyDescent="0.25">
      <c r="A40" s="173"/>
      <c r="B40" s="16">
        <v>1</v>
      </c>
      <c r="C40" s="300"/>
      <c r="D40" s="1079">
        <f>C40+(0.0013*C40+0.0055)</f>
        <v>5.4999999999999997E-3</v>
      </c>
      <c r="E40" s="301"/>
      <c r="F40" s="302"/>
      <c r="G40" s="1057">
        <f>(E40+F40)</f>
        <v>0</v>
      </c>
      <c r="H40" s="15"/>
      <c r="I40" s="300"/>
      <c r="J40" s="1079">
        <f>I40+(0.0015*I40-0.029)</f>
        <v>-2.9000000000000001E-2</v>
      </c>
      <c r="K40" s="301"/>
      <c r="L40" s="302"/>
      <c r="M40" s="182">
        <f>K40+L40</f>
        <v>0</v>
      </c>
      <c r="N40" s="303"/>
      <c r="O40" s="4"/>
      <c r="P40" s="305"/>
      <c r="Q40" s="306"/>
      <c r="R40" s="306"/>
      <c r="S40" s="307"/>
    </row>
    <row r="41" spans="1:26" s="6" customFormat="1" ht="30" customHeight="1" x14ac:dyDescent="0.25">
      <c r="A41" s="173"/>
      <c r="B41" s="16">
        <v>2</v>
      </c>
      <c r="C41" s="301"/>
      <c r="D41" s="1079">
        <f t="shared" ref="D41:D44" si="5">C41+(0.0013*C41+0.0055)</f>
        <v>5.4999999999999997E-3</v>
      </c>
      <c r="E41" s="301"/>
      <c r="F41" s="302"/>
      <c r="G41" s="181">
        <f t="shared" ref="G41:G44" si="6">(E41+F41)</f>
        <v>0</v>
      </c>
      <c r="H41" s="15"/>
      <c r="I41" s="301"/>
      <c r="J41" s="1079">
        <f t="shared" ref="J41:J44" si="7">I41+(0.0015*I41-0.029)</f>
        <v>-2.9000000000000001E-2</v>
      </c>
      <c r="K41" s="301"/>
      <c r="L41" s="302"/>
      <c r="M41" s="182">
        <f t="shared" ref="M41:M44" si="8">K41+L41</f>
        <v>0</v>
      </c>
      <c r="N41" s="303"/>
      <c r="O41" s="4"/>
      <c r="P41" s="305"/>
      <c r="Q41" s="306"/>
      <c r="R41" s="306"/>
      <c r="S41" s="307"/>
    </row>
    <row r="42" spans="1:26" s="6" customFormat="1" ht="30" customHeight="1" x14ac:dyDescent="0.25">
      <c r="A42" s="173"/>
      <c r="B42" s="16">
        <v>3</v>
      </c>
      <c r="C42" s="301"/>
      <c r="D42" s="1079">
        <f t="shared" si="5"/>
        <v>5.4999999999999997E-3</v>
      </c>
      <c r="E42" s="301"/>
      <c r="F42" s="302"/>
      <c r="G42" s="181">
        <f t="shared" si="6"/>
        <v>0</v>
      </c>
      <c r="H42" s="15"/>
      <c r="I42" s="301"/>
      <c r="J42" s="1079">
        <f t="shared" si="7"/>
        <v>-2.9000000000000001E-2</v>
      </c>
      <c r="K42" s="301"/>
      <c r="L42" s="302"/>
      <c r="M42" s="182">
        <f t="shared" si="8"/>
        <v>0</v>
      </c>
      <c r="N42" s="303"/>
      <c r="O42" s="4"/>
      <c r="P42" s="305"/>
      <c r="Q42" s="306"/>
      <c r="R42" s="306"/>
      <c r="S42" s="307"/>
    </row>
    <row r="43" spans="1:26" s="6" customFormat="1" ht="30" customHeight="1" thickBot="1" x14ac:dyDescent="0.3">
      <c r="A43" s="173"/>
      <c r="B43" s="16">
        <v>4</v>
      </c>
      <c r="C43" s="301"/>
      <c r="D43" s="1079">
        <f t="shared" si="5"/>
        <v>5.4999999999999997E-3</v>
      </c>
      <c r="E43" s="301"/>
      <c r="F43" s="302"/>
      <c r="G43" s="181">
        <f t="shared" si="6"/>
        <v>0</v>
      </c>
      <c r="H43" s="15"/>
      <c r="I43" s="301"/>
      <c r="J43" s="1079">
        <f t="shared" si="7"/>
        <v>-2.9000000000000001E-2</v>
      </c>
      <c r="K43" s="301"/>
      <c r="L43" s="302"/>
      <c r="M43" s="182">
        <f t="shared" si="8"/>
        <v>0</v>
      </c>
      <c r="N43" s="303"/>
      <c r="O43" s="4"/>
      <c r="P43" s="305"/>
      <c r="Q43" s="306"/>
      <c r="R43" s="306"/>
      <c r="S43" s="307"/>
      <c r="Z43" s="2"/>
    </row>
    <row r="44" spans="1:26" s="6" customFormat="1" ht="30" customHeight="1" thickBot="1" x14ac:dyDescent="0.3">
      <c r="A44" s="183" t="s">
        <v>128</v>
      </c>
      <c r="B44" s="16">
        <v>5</v>
      </c>
      <c r="C44" s="301"/>
      <c r="D44" s="1079">
        <f t="shared" si="5"/>
        <v>5.4999999999999997E-3</v>
      </c>
      <c r="E44" s="301"/>
      <c r="F44" s="302"/>
      <c r="G44" s="181">
        <f t="shared" si="6"/>
        <v>0</v>
      </c>
      <c r="H44" s="15"/>
      <c r="I44" s="532"/>
      <c r="J44" s="1079">
        <f t="shared" si="7"/>
        <v>-2.9000000000000001E-2</v>
      </c>
      <c r="K44" s="301"/>
      <c r="L44" s="302"/>
      <c r="M44" s="182">
        <f t="shared" si="8"/>
        <v>0</v>
      </c>
      <c r="N44" s="304"/>
      <c r="O44" s="4"/>
      <c r="P44" s="305"/>
      <c r="Q44" s="306"/>
      <c r="R44" s="306"/>
      <c r="S44" s="307"/>
      <c r="Z44" s="2"/>
    </row>
    <row r="45" spans="1:26" s="6" customFormat="1" ht="30" customHeight="1" thickBot="1" x14ac:dyDescent="0.3">
      <c r="A45" s="173"/>
      <c r="B45" s="1052"/>
      <c r="C45" s="1480" t="s">
        <v>571</v>
      </c>
      <c r="D45" s="1481"/>
      <c r="E45" s="1481"/>
      <c r="F45" s="1482"/>
      <c r="G45" s="1190">
        <f>AVERAGE(D40:D44)</f>
        <v>5.4999999999999997E-3</v>
      </c>
      <c r="H45" s="10"/>
      <c r="I45" s="184"/>
      <c r="J45" s="1438" t="s">
        <v>572</v>
      </c>
      <c r="K45" s="1439"/>
      <c r="L45" s="1440"/>
      <c r="M45" s="1191">
        <f>AVERAGE(J40:J44)</f>
        <v>-2.9000000000000005E-2</v>
      </c>
      <c r="N45" s="10"/>
      <c r="O45" s="4"/>
      <c r="P45" s="308"/>
      <c r="Q45" s="309"/>
      <c r="R45" s="309"/>
      <c r="S45" s="310"/>
      <c r="Z45" s="2"/>
    </row>
    <row r="46" spans="1:26" s="6" customFormat="1" ht="30" customHeight="1" x14ac:dyDescent="0.25">
      <c r="A46" s="173"/>
      <c r="B46" s="4"/>
      <c r="C46" s="185"/>
      <c r="D46" s="186"/>
      <c r="E46" s="185"/>
      <c r="F46" s="185"/>
      <c r="G46" s="186"/>
      <c r="H46" s="4"/>
      <c r="I46" s="185"/>
      <c r="J46" s="186"/>
      <c r="K46" s="185"/>
      <c r="L46" s="185"/>
      <c r="M46" s="186"/>
      <c r="N46" s="4"/>
      <c r="O46" s="4"/>
      <c r="P46" s="4"/>
      <c r="Q46" s="4"/>
      <c r="R46" s="4"/>
      <c r="Z46" s="2"/>
    </row>
    <row r="47" spans="1:26" ht="30" customHeight="1" x14ac:dyDescent="0.25">
      <c r="A47" s="32"/>
      <c r="Q47" s="10"/>
      <c r="R47" s="10"/>
      <c r="S47" s="6"/>
      <c r="T47" s="6"/>
      <c r="U47" s="6"/>
    </row>
    <row r="48" spans="1:26" ht="50.1" customHeight="1" thickBot="1" x14ac:dyDescent="0.3">
      <c r="A48" s="173"/>
      <c r="B48" s="1460"/>
      <c r="C48" s="1460"/>
      <c r="D48" s="1460"/>
      <c r="E48" s="1460"/>
      <c r="F48" s="1460"/>
      <c r="G48" s="1460"/>
      <c r="H48" s="1460"/>
      <c r="I48" s="1460"/>
      <c r="J48" s="1460"/>
      <c r="K48" s="1460"/>
      <c r="L48" s="1460"/>
      <c r="M48" s="4"/>
      <c r="N48" s="4"/>
      <c r="Q48" s="10"/>
      <c r="R48" s="10"/>
      <c r="S48" s="6"/>
      <c r="T48" s="6"/>
      <c r="U48" s="6"/>
    </row>
    <row r="49" spans="1:21" ht="30" customHeight="1" thickBot="1" x14ac:dyDescent="0.3">
      <c r="A49" s="173"/>
      <c r="B49" s="9"/>
      <c r="C49" s="9"/>
      <c r="D49" s="9"/>
      <c r="E49" s="1442" t="s">
        <v>129</v>
      </c>
      <c r="F49" s="1443"/>
      <c r="G49" s="1443"/>
      <c r="H49" s="1443"/>
      <c r="I49" s="1443"/>
      <c r="J49" s="1443"/>
      <c r="K49" s="1443"/>
      <c r="L49" s="1444"/>
      <c r="M49" s="1044"/>
      <c r="N49" s="1044"/>
      <c r="Q49" s="10"/>
      <c r="R49" s="10"/>
      <c r="S49" s="6"/>
      <c r="T49" s="6"/>
      <c r="U49" s="6"/>
    </row>
    <row r="50" spans="1:21" ht="30" customHeight="1" thickBot="1" x14ac:dyDescent="0.3">
      <c r="A50" s="32"/>
      <c r="B50" s="9"/>
      <c r="C50" s="9"/>
      <c r="D50" s="9"/>
      <c r="E50" s="1478" t="s">
        <v>122</v>
      </c>
      <c r="F50" s="1479"/>
      <c r="G50" s="187" t="s">
        <v>224</v>
      </c>
      <c r="H50" s="188" t="s">
        <v>225</v>
      </c>
      <c r="J50" s="189"/>
      <c r="K50" s="190"/>
      <c r="L50" s="191"/>
      <c r="N50" s="192"/>
      <c r="O50" s="1474" t="s">
        <v>130</v>
      </c>
      <c r="P50" s="193"/>
      <c r="Q50" s="194" t="e">
        <f>IF(R26&gt;=(MAX(N52))," AJUSTAR","NO AJUSTAR")</f>
        <v>#N/A</v>
      </c>
      <c r="R50" s="195"/>
      <c r="S50" s="6"/>
      <c r="T50" s="6"/>
      <c r="U50" s="6"/>
    </row>
    <row r="51" spans="1:21" ht="30" customHeight="1" thickBot="1" x14ac:dyDescent="0.3">
      <c r="A51" s="32"/>
      <c r="B51" s="9"/>
      <c r="C51" s="9"/>
      <c r="D51" s="9"/>
      <c r="E51" s="1405">
        <v>1</v>
      </c>
      <c r="F51" s="1406"/>
      <c r="G51" s="166" t="e">
        <f>$C$7*((1-$D$29*($D$25-D40))+($K$51)*(J40-D40)+$F$29*($F$25-J40))</f>
        <v>#N/A</v>
      </c>
      <c r="H51" s="162" t="e">
        <f>G51+N40</f>
        <v>#N/A</v>
      </c>
      <c r="J51" s="1035">
        <v>1</v>
      </c>
      <c r="K51" s="196">
        <f>(-0.1176*((D40+J40)/2)^2+(15.846*(D40+J40)/2)-62.677)*10^-6</f>
        <v>-6.2863206736149993E-5</v>
      </c>
      <c r="L51" s="197" t="s">
        <v>226</v>
      </c>
      <c r="N51" s="198" t="s">
        <v>4</v>
      </c>
      <c r="O51" s="1451"/>
      <c r="P51" s="199"/>
      <c r="Q51" s="200" t="e">
        <f>(Q26)</f>
        <v>#N/A</v>
      </c>
      <c r="R51" s="201"/>
      <c r="S51" s="6"/>
      <c r="T51" s="6"/>
      <c r="U51" s="6"/>
    </row>
    <row r="52" spans="1:21" ht="30" customHeight="1" thickBot="1" x14ac:dyDescent="0.3">
      <c r="A52" s="32"/>
      <c r="B52" s="9"/>
      <c r="C52" s="9"/>
      <c r="D52" s="9"/>
      <c r="E52" s="1405">
        <v>2</v>
      </c>
      <c r="F52" s="1406"/>
      <c r="G52" s="166" t="e">
        <f>$C$7*((1-$D$29*($D$25-D41))+($K$52)*(J41-D41)+$F$29*($F$25-J41))</f>
        <v>#N/A</v>
      </c>
      <c r="H52" s="162" t="e">
        <f>G52+N41</f>
        <v>#N/A</v>
      </c>
      <c r="J52" s="1035">
        <v>2</v>
      </c>
      <c r="K52" s="196">
        <f>(-0.1176*((D41+J41)/2)^2+(15.846*(D41+J41)/2)-62.677)*10^-6</f>
        <v>-6.2863206736149993E-5</v>
      </c>
      <c r="L52" s="197" t="s">
        <v>226</v>
      </c>
      <c r="N52" s="202">
        <f>(8.1949)</f>
        <v>8.1949000000000005</v>
      </c>
      <c r="O52" s="1452"/>
      <c r="P52" s="203"/>
      <c r="Q52" s="203"/>
      <c r="R52" s="204"/>
      <c r="S52" s="6"/>
      <c r="T52" s="6"/>
      <c r="U52" s="6"/>
    </row>
    <row r="53" spans="1:21" ht="30" customHeight="1" thickBot="1" x14ac:dyDescent="0.3">
      <c r="A53" s="32"/>
      <c r="B53" s="9"/>
      <c r="C53" s="9"/>
      <c r="D53" s="9"/>
      <c r="E53" s="1405">
        <v>3</v>
      </c>
      <c r="F53" s="1406"/>
      <c r="G53" s="166" t="e">
        <f>$C$7*((1-$D$29*($D$25-D42))+($K$53)*(J42-D42)+$F$29*($F$25-J42))</f>
        <v>#N/A</v>
      </c>
      <c r="H53" s="162" t="e">
        <f>G53+N42</f>
        <v>#N/A</v>
      </c>
      <c r="J53" s="1035">
        <v>3</v>
      </c>
      <c r="K53" s="196">
        <f>(-0.1176*((D42+J42)/2)^2+(15.846*(D42+J42)/2)-62.677)*10^-6</f>
        <v>-6.2863206736149993E-5</v>
      </c>
      <c r="L53" s="197" t="s">
        <v>226</v>
      </c>
      <c r="N53" s="205"/>
      <c r="O53" s="1451" t="s">
        <v>364</v>
      </c>
      <c r="P53" s="199"/>
      <c r="Q53" s="206" t="e">
        <f>IF(R24&gt;=(MAX(N55))," AJUSTAR","NO AJUSTAR")</f>
        <v>#N/A</v>
      </c>
      <c r="R53" s="201"/>
      <c r="S53" s="6"/>
      <c r="T53" s="6"/>
      <c r="U53" s="6"/>
    </row>
    <row r="54" spans="1:21" ht="30" customHeight="1" thickBot="1" x14ac:dyDescent="0.3">
      <c r="A54" s="32"/>
      <c r="B54" s="9"/>
      <c r="C54" s="9"/>
      <c r="D54" s="9"/>
      <c r="E54" s="1405">
        <v>4</v>
      </c>
      <c r="F54" s="1406"/>
      <c r="G54" s="166" t="e">
        <f>$C$7*((1-$D$29*($D$25-D43))+($K$54)*(J43-D43)+$F$29*($F$25-J43))</f>
        <v>#N/A</v>
      </c>
      <c r="H54" s="162" t="e">
        <f>G54+N43</f>
        <v>#N/A</v>
      </c>
      <c r="J54" s="1035">
        <v>4</v>
      </c>
      <c r="K54" s="196">
        <f>(-0.1176*((D43+J43)/2)^2+(15.846*(D43+J43)/2)-62.677)*10^-6</f>
        <v>-6.2863206736149993E-5</v>
      </c>
      <c r="L54" s="197" t="s">
        <v>226</v>
      </c>
      <c r="N54" s="198" t="s">
        <v>367</v>
      </c>
      <c r="O54" s="1451"/>
      <c r="P54" s="199"/>
      <c r="Q54" s="585" t="e">
        <f>Q24</f>
        <v>#N/A</v>
      </c>
      <c r="R54" s="201"/>
      <c r="S54" s="6"/>
      <c r="T54" s="6"/>
      <c r="U54" s="6"/>
    </row>
    <row r="55" spans="1:21" ht="30" customHeight="1" thickBot="1" x14ac:dyDescent="0.3">
      <c r="A55" s="32"/>
      <c r="B55" s="9"/>
      <c r="C55" s="9"/>
      <c r="D55" s="9"/>
      <c r="E55" s="1405">
        <v>5</v>
      </c>
      <c r="F55" s="1406"/>
      <c r="G55" s="166" t="e">
        <f>$C$7*((1-$D$29*($D$25-D44))+($K$55)*(J44-D44)+$F$29*($F$25-J44))</f>
        <v>#N/A</v>
      </c>
      <c r="H55" s="162" t="e">
        <f>G55+N44</f>
        <v>#N/A</v>
      </c>
      <c r="J55" s="1035">
        <v>5</v>
      </c>
      <c r="K55" s="196">
        <f>(-0.1176*((D44+J44)/2)^2+(15.846*(D44+J44)/2)-62.677)*10^-6</f>
        <v>-6.2863206736149993E-5</v>
      </c>
      <c r="L55" s="197" t="s">
        <v>226</v>
      </c>
      <c r="N55" s="202">
        <v>0.5</v>
      </c>
      <c r="O55" s="1452"/>
      <c r="P55" s="203"/>
      <c r="Q55" s="203"/>
      <c r="R55" s="204"/>
      <c r="S55" s="6"/>
      <c r="T55" s="6"/>
      <c r="U55" s="6"/>
    </row>
    <row r="56" spans="1:21" ht="30" customHeight="1" thickBot="1" x14ac:dyDescent="0.3">
      <c r="A56" s="32"/>
      <c r="B56" s="9"/>
      <c r="C56" s="9"/>
      <c r="D56" s="9"/>
      <c r="E56" s="1448" t="s">
        <v>228</v>
      </c>
      <c r="F56" s="1449"/>
      <c r="G56" s="1450"/>
      <c r="H56" s="586" t="e">
        <f>AVERAGE(H51:H55)</f>
        <v>#N/A</v>
      </c>
      <c r="I56" s="9"/>
      <c r="J56" s="207" t="s">
        <v>2</v>
      </c>
      <c r="K56" s="208">
        <f>AVERAGE(K51:K55)</f>
        <v>-6.2863206736149993E-5</v>
      </c>
      <c r="L56" s="209" t="s">
        <v>226</v>
      </c>
      <c r="O56" s="9"/>
      <c r="P56" s="9"/>
      <c r="Q56" s="9"/>
      <c r="R56" s="10"/>
      <c r="S56" s="6"/>
    </row>
    <row r="57" spans="1:21" ht="30" customHeight="1" x14ac:dyDescent="0.25">
      <c r="A57" s="32"/>
      <c r="B57" s="9"/>
      <c r="C57" s="9"/>
      <c r="D57" s="9"/>
      <c r="E57" s="1448" t="s">
        <v>229</v>
      </c>
      <c r="F57" s="1449"/>
      <c r="G57" s="1450"/>
      <c r="H57" s="210" t="e">
        <f>_xlfn.STDEV.S(H51:H55)</f>
        <v>#N/A</v>
      </c>
      <c r="J57" s="211"/>
      <c r="L57" s="28"/>
      <c r="M57" s="212"/>
      <c r="N57" s="29"/>
      <c r="O57" s="9"/>
      <c r="P57" s="9"/>
      <c r="Q57" s="9"/>
      <c r="R57" s="10"/>
      <c r="S57" s="6"/>
    </row>
    <row r="58" spans="1:21" ht="30" customHeight="1" thickBot="1" x14ac:dyDescent="0.3">
      <c r="A58" s="32"/>
      <c r="B58" s="9"/>
      <c r="C58" s="9"/>
      <c r="D58" s="9"/>
      <c r="E58" s="1453" t="s">
        <v>131</v>
      </c>
      <c r="F58" s="1454"/>
      <c r="G58" s="1455"/>
      <c r="H58" s="213" t="e">
        <f>H57/SQRT(5)</f>
        <v>#N/A</v>
      </c>
      <c r="J58" s="214"/>
      <c r="K58" s="29"/>
      <c r="Q58" s="10"/>
      <c r="R58" s="10"/>
      <c r="S58" s="6"/>
    </row>
    <row r="59" spans="1:21" s="10" customFormat="1" ht="30" customHeight="1" thickBot="1" x14ac:dyDescent="0.3">
      <c r="A59" s="215"/>
      <c r="J59" s="8"/>
      <c r="K59" s="8"/>
      <c r="L59" s="31"/>
      <c r="M59" s="31"/>
      <c r="N59" s="31"/>
      <c r="O59" s="31"/>
      <c r="S59" s="6"/>
    </row>
    <row r="60" spans="1:21" ht="30" customHeight="1" thickBot="1" x14ac:dyDescent="0.3">
      <c r="A60" s="81"/>
      <c r="B60" s="1442" t="s">
        <v>132</v>
      </c>
      <c r="C60" s="1443"/>
      <c r="D60" s="1443"/>
      <c r="E60" s="1443"/>
      <c r="F60" s="1443"/>
      <c r="G60" s="1443"/>
      <c r="H60" s="1443"/>
      <c r="I60" s="1443"/>
      <c r="J60" s="1443"/>
      <c r="K60" s="1443"/>
      <c r="L60" s="1444"/>
      <c r="Q60" s="10"/>
      <c r="R60" s="10"/>
      <c r="S60" s="6"/>
    </row>
    <row r="61" spans="1:21" ht="30" customHeight="1" x14ac:dyDescent="0.25">
      <c r="A61" s="32"/>
      <c r="B61" s="216"/>
      <c r="C61" s="28"/>
      <c r="D61" s="28"/>
      <c r="E61" s="28"/>
      <c r="F61" s="28"/>
      <c r="G61" s="28"/>
      <c r="H61" s="28"/>
      <c r="I61" s="28"/>
      <c r="J61" s="28"/>
      <c r="K61" s="1053" t="s">
        <v>133</v>
      </c>
      <c r="L61" s="1054" t="s">
        <v>92</v>
      </c>
      <c r="N61" s="1406" t="s">
        <v>92</v>
      </c>
      <c r="O61" s="1406" t="s">
        <v>1</v>
      </c>
      <c r="P61" s="1406" t="s">
        <v>0</v>
      </c>
      <c r="Q61" s="47"/>
      <c r="R61" s="47"/>
      <c r="S61" s="6"/>
    </row>
    <row r="62" spans="1:21" ht="30" customHeight="1" x14ac:dyDescent="0.25">
      <c r="A62" s="32"/>
      <c r="B62" s="1407" t="s">
        <v>267</v>
      </c>
      <c r="C62" s="1408"/>
      <c r="D62" s="1408"/>
      <c r="E62" s="1037"/>
      <c r="F62" s="1037"/>
      <c r="G62" s="220"/>
      <c r="H62" s="220"/>
      <c r="I62" s="220"/>
      <c r="J62" s="221"/>
      <c r="K62" s="222" t="e">
        <f>(1-$O$72*(O70-O66))+(O76)*(P68-O66)+P74*(P78-P68)</f>
        <v>#N/A</v>
      </c>
      <c r="L62" s="906" t="s">
        <v>486</v>
      </c>
      <c r="N62" s="1406"/>
      <c r="O62" s="1406"/>
      <c r="P62" s="1406"/>
      <c r="Q62" s="47"/>
      <c r="R62" s="47"/>
      <c r="S62" s="6"/>
    </row>
    <row r="63" spans="1:21" s="10" customFormat="1" ht="5.0999999999999996" customHeight="1" x14ac:dyDescent="0.25">
      <c r="A63" s="32"/>
      <c r="B63" s="223"/>
      <c r="C63" s="224"/>
      <c r="D63" s="224"/>
      <c r="E63" s="224"/>
      <c r="F63" s="224"/>
      <c r="G63" s="212"/>
      <c r="H63" s="212"/>
      <c r="I63" s="212"/>
      <c r="J63" s="212"/>
      <c r="K63" s="225"/>
      <c r="L63" s="907"/>
      <c r="N63" s="34"/>
      <c r="O63" s="34"/>
      <c r="P63" s="34"/>
      <c r="Q63" s="47"/>
      <c r="R63" s="47"/>
      <c r="S63" s="6"/>
    </row>
    <row r="64" spans="1:21" ht="30" customHeight="1" x14ac:dyDescent="0.25">
      <c r="A64" s="32"/>
      <c r="B64" s="1407" t="s">
        <v>268</v>
      </c>
      <c r="C64" s="1408"/>
      <c r="D64" s="1408"/>
      <c r="E64" s="1408"/>
      <c r="F64" s="1037"/>
      <c r="G64" s="220"/>
      <c r="H64" s="220"/>
      <c r="I64" s="220"/>
      <c r="J64" s="221"/>
      <c r="K64" s="222" t="e">
        <f>$O$64*(O72-O76)</f>
        <v>#N/A</v>
      </c>
      <c r="L64" s="906" t="s">
        <v>489</v>
      </c>
      <c r="N64" s="226"/>
      <c r="O64" s="12" t="e">
        <f>$C$7</f>
        <v>#N/A</v>
      </c>
      <c r="P64" s="39"/>
      <c r="Q64" s="47"/>
      <c r="R64" s="47"/>
      <c r="S64" s="6"/>
    </row>
    <row r="65" spans="1:19" s="7" customFormat="1" ht="5.0999999999999996" customHeight="1" x14ac:dyDescent="0.25">
      <c r="A65" s="32"/>
      <c r="B65" s="223"/>
      <c r="C65" s="224"/>
      <c r="D65" s="224"/>
      <c r="E65" s="224"/>
      <c r="F65" s="224"/>
      <c r="G65" s="212"/>
      <c r="H65" s="212"/>
      <c r="I65" s="212"/>
      <c r="J65" s="212"/>
      <c r="K65" s="225"/>
      <c r="L65" s="908"/>
      <c r="M65" s="10"/>
      <c r="N65" s="34"/>
      <c r="O65" s="34"/>
      <c r="P65" s="34"/>
      <c r="Q65" s="47"/>
      <c r="R65" s="47"/>
      <c r="S65" s="6"/>
    </row>
    <row r="66" spans="1:19" ht="30" customHeight="1" x14ac:dyDescent="0.25">
      <c r="A66" s="32"/>
      <c r="B66" s="1407" t="s">
        <v>269</v>
      </c>
      <c r="C66" s="1408"/>
      <c r="D66" s="1408"/>
      <c r="E66" s="1408"/>
      <c r="F66" s="1037"/>
      <c r="G66" s="220"/>
      <c r="H66" s="220"/>
      <c r="I66" s="220"/>
      <c r="J66" s="221"/>
      <c r="K66" s="222" t="e">
        <f>$O$64*(P76-P74)</f>
        <v>#N/A</v>
      </c>
      <c r="L66" s="906" t="s">
        <v>489</v>
      </c>
      <c r="N66" s="226"/>
      <c r="O66" s="38">
        <f>$G$45</f>
        <v>5.4999999999999997E-3</v>
      </c>
      <c r="P66" s="39"/>
      <c r="Q66" s="47"/>
      <c r="R66" s="47"/>
      <c r="S66" s="6"/>
    </row>
    <row r="67" spans="1:19" s="7" customFormat="1" ht="5.0999999999999996" customHeight="1" x14ac:dyDescent="0.25">
      <c r="A67" s="32"/>
      <c r="B67" s="223"/>
      <c r="C67" s="224"/>
      <c r="D67" s="224"/>
      <c r="E67" s="224"/>
      <c r="F67" s="224"/>
      <c r="G67" s="212"/>
      <c r="H67" s="212"/>
      <c r="I67" s="212"/>
      <c r="J67" s="212"/>
      <c r="K67" s="225"/>
      <c r="L67" s="908"/>
      <c r="M67" s="10"/>
      <c r="N67" s="34"/>
      <c r="O67" s="34"/>
      <c r="P67" s="34"/>
      <c r="Q67" s="47"/>
      <c r="R67" s="47"/>
      <c r="S67" s="6"/>
    </row>
    <row r="68" spans="1:19" ht="30" customHeight="1" x14ac:dyDescent="0.25">
      <c r="A68" s="32"/>
      <c r="B68" s="1407" t="s">
        <v>266</v>
      </c>
      <c r="C68" s="1408"/>
      <c r="D68" s="1408"/>
      <c r="E68" s="1408"/>
      <c r="F68" s="1408"/>
      <c r="G68" s="220"/>
      <c r="H68" s="220"/>
      <c r="I68" s="220"/>
      <c r="J68" s="221"/>
      <c r="K68" s="222" t="e">
        <f>-O$64*(O70-O66)</f>
        <v>#N/A</v>
      </c>
      <c r="L68" s="906" t="s">
        <v>487</v>
      </c>
      <c r="N68" s="226"/>
      <c r="O68" s="39"/>
      <c r="P68" s="38">
        <f>$M$45</f>
        <v>-2.9000000000000005E-2</v>
      </c>
      <c r="Q68" s="47"/>
      <c r="R68" s="47"/>
      <c r="S68" s="6"/>
    </row>
    <row r="69" spans="1:19" s="7" customFormat="1" ht="5.0999999999999996" customHeight="1" x14ac:dyDescent="0.25">
      <c r="A69" s="32"/>
      <c r="B69" s="223"/>
      <c r="C69" s="224"/>
      <c r="D69" s="224"/>
      <c r="E69" s="224"/>
      <c r="F69" s="224"/>
      <c r="G69" s="212"/>
      <c r="H69" s="212"/>
      <c r="I69" s="212"/>
      <c r="J69" s="212"/>
      <c r="K69" s="225"/>
      <c r="L69" s="908"/>
      <c r="M69" s="10"/>
      <c r="N69" s="34"/>
      <c r="O69" s="34"/>
      <c r="P69" s="34"/>
      <c r="Q69" s="47"/>
      <c r="R69" s="47"/>
      <c r="S69" s="6"/>
    </row>
    <row r="70" spans="1:19" ht="30" customHeight="1" x14ac:dyDescent="0.25">
      <c r="A70" s="32"/>
      <c r="B70" s="1407" t="s">
        <v>265</v>
      </c>
      <c r="C70" s="1408"/>
      <c r="D70" s="1408"/>
      <c r="E70" s="1408"/>
      <c r="F70" s="1408"/>
      <c r="G70" s="228"/>
      <c r="H70" s="228"/>
      <c r="I70" s="228"/>
      <c r="J70" s="221"/>
      <c r="K70" s="222" t="e">
        <f>$O$64*(P78-P68)</f>
        <v>#N/A</v>
      </c>
      <c r="L70" s="906" t="s">
        <v>487</v>
      </c>
      <c r="N70" s="229"/>
      <c r="O70" s="12" t="e">
        <f>$D$25</f>
        <v>#N/A</v>
      </c>
      <c r="P70" s="39"/>
      <c r="Q70" s="47"/>
      <c r="R70" s="47"/>
      <c r="S70" s="6"/>
    </row>
    <row r="71" spans="1:19" s="7" customFormat="1" ht="5.0999999999999996" customHeight="1" x14ac:dyDescent="0.25">
      <c r="A71" s="32"/>
      <c r="B71" s="223"/>
      <c r="C71" s="224"/>
      <c r="D71" s="224"/>
      <c r="E71" s="224"/>
      <c r="F71" s="224"/>
      <c r="G71" s="212"/>
      <c r="H71" s="212"/>
      <c r="I71" s="212"/>
      <c r="J71" s="212"/>
      <c r="K71" s="225"/>
      <c r="L71" s="908"/>
      <c r="M71" s="10"/>
      <c r="N71" s="34"/>
      <c r="O71" s="34"/>
      <c r="P71" s="34"/>
      <c r="Q71" s="47"/>
      <c r="R71" s="47"/>
      <c r="S71" s="6"/>
    </row>
    <row r="72" spans="1:19" ht="30" customHeight="1" x14ac:dyDescent="0.25">
      <c r="A72" s="32"/>
      <c r="B72" s="1407" t="s">
        <v>134</v>
      </c>
      <c r="C72" s="1408"/>
      <c r="D72" s="1408"/>
      <c r="E72" s="1408"/>
      <c r="F72" s="1408"/>
      <c r="G72" s="220"/>
      <c r="H72" s="220"/>
      <c r="I72" s="220"/>
      <c r="J72" s="221"/>
      <c r="K72" s="222" t="e">
        <f>$O$64*(P68-O66)</f>
        <v>#N/A</v>
      </c>
      <c r="L72" s="906" t="s">
        <v>487</v>
      </c>
      <c r="N72" s="226"/>
      <c r="O72" s="72" t="e">
        <f>$D$29</f>
        <v>#N/A</v>
      </c>
      <c r="P72" s="39"/>
      <c r="Q72" s="47"/>
      <c r="R72" s="47"/>
      <c r="S72" s="6"/>
    </row>
    <row r="73" spans="1:19" s="7" customFormat="1" ht="5.0999999999999996" customHeight="1" x14ac:dyDescent="0.25">
      <c r="A73" s="32"/>
      <c r="B73" s="223"/>
      <c r="C73" s="224"/>
      <c r="D73" s="224"/>
      <c r="E73" s="224"/>
      <c r="F73" s="224"/>
      <c r="G73" s="212"/>
      <c r="H73" s="212"/>
      <c r="I73" s="212"/>
      <c r="J73" s="212"/>
      <c r="K73" s="230"/>
      <c r="L73" s="227"/>
      <c r="M73" s="10"/>
      <c r="N73" s="34"/>
      <c r="O73" s="34"/>
      <c r="P73" s="34"/>
      <c r="Q73" s="47"/>
      <c r="R73" s="47"/>
      <c r="S73" s="6"/>
    </row>
    <row r="74" spans="1:19" ht="30" customHeight="1" x14ac:dyDescent="0.25">
      <c r="A74" s="32"/>
      <c r="B74" s="1407" t="s">
        <v>135</v>
      </c>
      <c r="C74" s="1408"/>
      <c r="D74" s="1408"/>
      <c r="E74" s="231"/>
      <c r="F74" s="231"/>
      <c r="G74" s="228"/>
      <c r="H74" s="228"/>
      <c r="I74" s="228"/>
      <c r="J74" s="221"/>
      <c r="K74" s="232">
        <v>1</v>
      </c>
      <c r="L74" s="906" t="s">
        <v>486</v>
      </c>
      <c r="M74" s="31"/>
      <c r="N74" s="226"/>
      <c r="O74" s="39"/>
      <c r="P74" s="72" t="e">
        <f>$F$29</f>
        <v>#N/A</v>
      </c>
      <c r="Q74" s="47"/>
      <c r="R74" s="47"/>
      <c r="S74" s="6"/>
    </row>
    <row r="75" spans="1:19" s="7" customFormat="1" ht="5.0999999999999996" customHeight="1" x14ac:dyDescent="0.25">
      <c r="A75" s="32"/>
      <c r="B75" s="223"/>
      <c r="C75" s="224"/>
      <c r="D75" s="224"/>
      <c r="E75" s="224"/>
      <c r="F75" s="224"/>
      <c r="G75" s="212"/>
      <c r="H75" s="212"/>
      <c r="I75" s="212"/>
      <c r="J75" s="212"/>
      <c r="K75" s="233"/>
      <c r="L75" s="909"/>
      <c r="M75" s="31"/>
      <c r="N75" s="234"/>
      <c r="O75" s="34"/>
      <c r="P75" s="34"/>
      <c r="Q75" s="47"/>
      <c r="R75" s="47"/>
      <c r="S75" s="6"/>
    </row>
    <row r="76" spans="1:19" ht="30" customHeight="1" x14ac:dyDescent="0.25">
      <c r="A76" s="173"/>
      <c r="B76" s="1407" t="s">
        <v>136</v>
      </c>
      <c r="C76" s="1408"/>
      <c r="D76" s="1408"/>
      <c r="E76" s="231"/>
      <c r="F76" s="231"/>
      <c r="G76" s="228"/>
      <c r="H76" s="228"/>
      <c r="I76" s="228"/>
      <c r="J76" s="221"/>
      <c r="K76" s="232">
        <v>1</v>
      </c>
      <c r="L76" s="906" t="s">
        <v>486</v>
      </c>
      <c r="M76" s="31"/>
      <c r="N76" s="226"/>
      <c r="O76" s="235">
        <f>$D$33</f>
        <v>-6.2863206736149993E-5</v>
      </c>
      <c r="P76" s="235">
        <f>$F$33</f>
        <v>-6.2863206736149993E-5</v>
      </c>
      <c r="Q76" s="47"/>
      <c r="R76" s="47"/>
      <c r="S76" s="6"/>
    </row>
    <row r="77" spans="1:19" s="7" customFormat="1" ht="5.0999999999999996" customHeight="1" x14ac:dyDescent="0.25">
      <c r="A77" s="32"/>
      <c r="B77" s="223"/>
      <c r="C77" s="224"/>
      <c r="D77" s="224"/>
      <c r="E77" s="224"/>
      <c r="F77" s="224"/>
      <c r="G77" s="212"/>
      <c r="H77" s="212"/>
      <c r="I77" s="212"/>
      <c r="J77" s="212"/>
      <c r="K77" s="233"/>
      <c r="L77" s="909"/>
      <c r="M77" s="31"/>
      <c r="N77" s="234"/>
      <c r="O77" s="589"/>
      <c r="P77" s="34"/>
      <c r="Q77" s="47"/>
      <c r="R77" s="47"/>
      <c r="S77" s="6"/>
    </row>
    <row r="78" spans="1:19" s="7" customFormat="1" ht="30" customHeight="1" x14ac:dyDescent="0.25">
      <c r="A78" s="32"/>
      <c r="B78" s="1407" t="s">
        <v>137</v>
      </c>
      <c r="C78" s="1408"/>
      <c r="D78" s="1408"/>
      <c r="E78" s="1037"/>
      <c r="F78" s="1037"/>
      <c r="G78" s="220"/>
      <c r="H78" s="220"/>
      <c r="I78" s="220"/>
      <c r="J78" s="221"/>
      <c r="K78" s="232">
        <v>1</v>
      </c>
      <c r="L78" s="906" t="s">
        <v>486</v>
      </c>
      <c r="M78" s="31"/>
      <c r="N78" s="588"/>
      <c r="O78" s="39"/>
      <c r="P78" s="590" t="e">
        <f>F25</f>
        <v>#N/A</v>
      </c>
      <c r="Q78" s="47"/>
      <c r="R78" s="47"/>
      <c r="S78" s="6"/>
    </row>
    <row r="79" spans="1:19" s="7" customFormat="1" ht="5.0999999999999996" customHeight="1" x14ac:dyDescent="0.25">
      <c r="A79" s="32"/>
      <c r="B79" s="223"/>
      <c r="C79" s="224"/>
      <c r="D79" s="224"/>
      <c r="E79" s="224"/>
      <c r="F79" s="224"/>
      <c r="G79" s="212"/>
      <c r="H79" s="212"/>
      <c r="I79" s="212"/>
      <c r="J79" s="29"/>
      <c r="K79" s="236"/>
      <c r="L79" s="237"/>
      <c r="M79" s="31"/>
      <c r="N79" s="31"/>
      <c r="O79" s="47"/>
      <c r="P79" s="10"/>
      <c r="Q79" s="10"/>
      <c r="R79" s="10"/>
      <c r="S79" s="6"/>
    </row>
    <row r="80" spans="1:19" ht="38.25" customHeight="1" thickBot="1" x14ac:dyDescent="0.3">
      <c r="A80" s="32"/>
      <c r="B80" s="1445" t="s">
        <v>270</v>
      </c>
      <c r="C80" s="1446"/>
      <c r="D80" s="1446"/>
      <c r="E80" s="1446"/>
      <c r="F80" s="1446"/>
      <c r="G80" s="238"/>
      <c r="H80" s="238"/>
      <c r="I80" s="238"/>
      <c r="J80" s="239"/>
      <c r="K80" s="240" t="e">
        <f>D32</f>
        <v>#N/A</v>
      </c>
      <c r="L80" s="241" t="s">
        <v>485</v>
      </c>
      <c r="M80" s="31"/>
      <c r="Q80" s="3"/>
      <c r="R80" s="10"/>
      <c r="S80" s="6"/>
    </row>
    <row r="81" spans="1:19" s="7" customFormat="1" ht="30" customHeight="1" thickBot="1" x14ac:dyDescent="0.3">
      <c r="A81" s="32"/>
      <c r="B81" s="10"/>
      <c r="C81" s="10"/>
      <c r="D81" s="10"/>
      <c r="E81" s="10"/>
      <c r="F81" s="10"/>
      <c r="G81" s="10"/>
      <c r="H81" s="10"/>
      <c r="I81" s="10"/>
      <c r="J81" s="10"/>
      <c r="K81" s="10"/>
      <c r="L81" s="10"/>
      <c r="M81" s="31"/>
      <c r="N81" s="31"/>
      <c r="O81" s="47"/>
      <c r="P81" s="10"/>
      <c r="Q81" s="10"/>
      <c r="R81" s="10"/>
      <c r="S81" s="6"/>
    </row>
    <row r="82" spans="1:19" ht="30" customHeight="1" thickBot="1" x14ac:dyDescent="0.3">
      <c r="A82" s="81"/>
      <c r="B82" s="1442" t="s">
        <v>138</v>
      </c>
      <c r="C82" s="1443"/>
      <c r="D82" s="1443"/>
      <c r="E82" s="1443"/>
      <c r="F82" s="1443"/>
      <c r="G82" s="1443"/>
      <c r="H82" s="1443"/>
      <c r="I82" s="1443"/>
      <c r="J82" s="1443"/>
      <c r="K82" s="1443"/>
      <c r="L82" s="1443"/>
      <c r="M82" s="1443"/>
      <c r="N82" s="1443"/>
      <c r="O82" s="1443"/>
      <c r="P82" s="1443"/>
      <c r="Q82" s="1444"/>
      <c r="R82" s="9"/>
      <c r="S82" s="6"/>
    </row>
    <row r="83" spans="1:19" ht="30" customHeight="1" x14ac:dyDescent="0.25">
      <c r="A83" s="32"/>
      <c r="B83" s="1411" t="s">
        <v>139</v>
      </c>
      <c r="C83" s="1412"/>
      <c r="D83" s="1042" t="s">
        <v>230</v>
      </c>
      <c r="E83" s="1447" t="s">
        <v>140</v>
      </c>
      <c r="F83" s="1447"/>
      <c r="G83" s="1042" t="s">
        <v>141</v>
      </c>
      <c r="H83" s="1447" t="s">
        <v>142</v>
      </c>
      <c r="I83" s="1447"/>
      <c r="J83" s="1447" t="s">
        <v>143</v>
      </c>
      <c r="K83" s="1447"/>
      <c r="L83" s="1447" t="s">
        <v>144</v>
      </c>
      <c r="M83" s="1447"/>
      <c r="N83" s="1053" t="s">
        <v>573</v>
      </c>
      <c r="O83" s="1053" t="s">
        <v>145</v>
      </c>
      <c r="P83" s="1053" t="s">
        <v>146</v>
      </c>
      <c r="Q83" s="243" t="s">
        <v>147</v>
      </c>
      <c r="R83" s="9"/>
      <c r="S83" s="6"/>
    </row>
    <row r="84" spans="1:19" s="47" customFormat="1" ht="37.5" customHeight="1" x14ac:dyDescent="0.25">
      <c r="A84" s="244"/>
      <c r="B84" s="1417" t="s">
        <v>148</v>
      </c>
      <c r="C84" s="1418"/>
      <c r="D84" s="245" t="e">
        <f>C7</f>
        <v>#N/A</v>
      </c>
      <c r="E84" s="246"/>
      <c r="F84" s="246"/>
      <c r="G84" s="246"/>
      <c r="H84" s="246"/>
      <c r="I84" s="246"/>
      <c r="J84" s="246"/>
      <c r="K84" s="246"/>
      <c r="L84" s="246"/>
      <c r="M84" s="246"/>
      <c r="N84" s="1051"/>
      <c r="O84" s="246"/>
      <c r="P84" s="246"/>
      <c r="Q84" s="248"/>
      <c r="S84" s="6"/>
    </row>
    <row r="85" spans="1:19" ht="30" customHeight="1" x14ac:dyDescent="0.25">
      <c r="A85" s="1441"/>
      <c r="B85" s="1415" t="s">
        <v>149</v>
      </c>
      <c r="C85" s="1416"/>
      <c r="D85" s="249"/>
      <c r="E85" s="48" t="e">
        <f>I7</f>
        <v>#N/A</v>
      </c>
      <c r="F85" s="910" t="s">
        <v>94</v>
      </c>
      <c r="G85" s="48" t="e">
        <f>O7</f>
        <v>#N/A</v>
      </c>
      <c r="H85" s="48" t="e">
        <f>E85/G85</f>
        <v>#N/A</v>
      </c>
      <c r="I85" s="910" t="s">
        <v>94</v>
      </c>
      <c r="J85" s="251" t="e">
        <f>K62</f>
        <v>#N/A</v>
      </c>
      <c r="K85" s="49" t="str">
        <f>L62</f>
        <v>No tiene</v>
      </c>
      <c r="L85" s="252" t="e">
        <f>H85*J85</f>
        <v>#N/A</v>
      </c>
      <c r="M85" s="49" t="s">
        <v>4</v>
      </c>
      <c r="N85" s="251" t="e">
        <f>L85^2</f>
        <v>#N/A</v>
      </c>
      <c r="O85" s="49" t="s">
        <v>19</v>
      </c>
      <c r="P85" s="49" t="s">
        <v>150</v>
      </c>
      <c r="Q85" s="50">
        <v>50</v>
      </c>
      <c r="R85" s="10"/>
      <c r="S85" s="6"/>
    </row>
    <row r="86" spans="1:19" ht="30" customHeight="1" x14ac:dyDescent="0.25">
      <c r="A86" s="1441"/>
      <c r="B86" s="1415" t="s">
        <v>151</v>
      </c>
      <c r="C86" s="1416"/>
      <c r="D86" s="249"/>
      <c r="E86" s="251" t="e">
        <f>K7</f>
        <v>#N/A</v>
      </c>
      <c r="F86" s="250" t="s">
        <v>4</v>
      </c>
      <c r="G86" s="48">
        <f>SQRT(3)</f>
        <v>1.7320508075688772</v>
      </c>
      <c r="H86" s="48" t="e">
        <f>E86/G86</f>
        <v>#N/A</v>
      </c>
      <c r="I86" s="250" t="str">
        <f>F86</f>
        <v>mL</v>
      </c>
      <c r="J86" s="251" t="e">
        <f>K62</f>
        <v>#N/A</v>
      </c>
      <c r="K86" s="49" t="str">
        <f>L62</f>
        <v>No tiene</v>
      </c>
      <c r="L86" s="252" t="e">
        <f>H86*J86</f>
        <v>#N/A</v>
      </c>
      <c r="M86" s="49" t="s">
        <v>4</v>
      </c>
      <c r="N86" s="251" t="e">
        <f>L86^2</f>
        <v>#N/A</v>
      </c>
      <c r="O86" s="49" t="s">
        <v>19</v>
      </c>
      <c r="P86" s="49" t="s">
        <v>5</v>
      </c>
      <c r="Q86" s="50" t="s">
        <v>11</v>
      </c>
      <c r="R86" s="10"/>
      <c r="S86" s="6"/>
    </row>
    <row r="87" spans="1:19" s="47" customFormat="1" ht="15" customHeight="1" x14ac:dyDescent="0.25">
      <c r="A87" s="244"/>
      <c r="B87" s="1409"/>
      <c r="C87" s="1410"/>
      <c r="D87" s="1410"/>
      <c r="E87" s="1039"/>
      <c r="F87" s="1039"/>
      <c r="G87" s="1039"/>
      <c r="H87" s="1039"/>
      <c r="I87" s="1039"/>
      <c r="J87" s="1039"/>
      <c r="K87" s="1039"/>
      <c r="L87" s="1039"/>
      <c r="M87" s="1039"/>
      <c r="N87" s="1039"/>
      <c r="O87" s="1039"/>
      <c r="P87" s="1039"/>
      <c r="Q87" s="1040"/>
      <c r="S87" s="6"/>
    </row>
    <row r="88" spans="1:19" s="47" customFormat="1" ht="30" customHeight="1" x14ac:dyDescent="0.25">
      <c r="A88" s="244"/>
      <c r="B88" s="1413" t="s">
        <v>271</v>
      </c>
      <c r="C88" s="1414"/>
      <c r="D88" s="255" t="e">
        <f>C14</f>
        <v>#N/A</v>
      </c>
      <c r="E88" s="1419"/>
      <c r="F88" s="1420"/>
      <c r="G88" s="1420"/>
      <c r="H88" s="1420"/>
      <c r="I88" s="1420"/>
      <c r="J88" s="1420"/>
      <c r="K88" s="1420"/>
      <c r="L88" s="1420"/>
      <c r="M88" s="1420"/>
      <c r="N88" s="1420"/>
      <c r="O88" s="1420"/>
      <c r="P88" s="1420"/>
      <c r="Q88" s="1421"/>
      <c r="S88" s="6"/>
    </row>
    <row r="89" spans="1:19" ht="30" customHeight="1" x14ac:dyDescent="0.25">
      <c r="A89" s="32"/>
      <c r="B89" s="1413" t="s">
        <v>272</v>
      </c>
      <c r="C89" s="1414"/>
      <c r="D89" s="255"/>
      <c r="E89" s="252" t="e">
        <f>I14</f>
        <v>#N/A</v>
      </c>
      <c r="F89" s="256" t="str">
        <f>F14</f>
        <v>mL</v>
      </c>
      <c r="G89" s="257" t="e">
        <f>O14</f>
        <v>#N/A</v>
      </c>
      <c r="H89" s="252" t="e">
        <f>+E89/G89</f>
        <v>#N/A</v>
      </c>
      <c r="I89" s="256" t="str">
        <f>F89</f>
        <v>mL</v>
      </c>
      <c r="J89" s="258" t="e">
        <f>+K80</f>
        <v>#N/A</v>
      </c>
      <c r="K89" s="256"/>
      <c r="L89" s="259" t="e">
        <f>H89*J89</f>
        <v>#N/A</v>
      </c>
      <c r="M89" s="256" t="s">
        <v>4</v>
      </c>
      <c r="N89" s="259" t="e">
        <f>L89^2</f>
        <v>#N/A</v>
      </c>
      <c r="O89" s="49" t="s">
        <v>19</v>
      </c>
      <c r="P89" s="49" t="s">
        <v>150</v>
      </c>
      <c r="Q89" s="50">
        <v>50</v>
      </c>
      <c r="R89" s="10"/>
      <c r="S89" s="6"/>
    </row>
    <row r="90" spans="1:19" ht="30" customHeight="1" x14ac:dyDescent="0.25">
      <c r="A90" s="32"/>
      <c r="B90" s="1415" t="s">
        <v>273</v>
      </c>
      <c r="C90" s="1416"/>
      <c r="D90" s="255"/>
      <c r="E90" s="252" t="e">
        <f>E14</f>
        <v>#N/A</v>
      </c>
      <c r="F90" s="256" t="str">
        <f>F14</f>
        <v>mL</v>
      </c>
      <c r="G90" s="252">
        <f>SQRT(12)</f>
        <v>3.4641016151377544</v>
      </c>
      <c r="H90" s="252" t="e">
        <f>+E90/G90</f>
        <v>#N/A</v>
      </c>
      <c r="I90" s="256" t="str">
        <f t="shared" ref="I90" si="9">F90</f>
        <v>mL</v>
      </c>
      <c r="J90" s="258" t="e">
        <f>+K80</f>
        <v>#N/A</v>
      </c>
      <c r="K90" s="256"/>
      <c r="L90" s="259" t="e">
        <f>H90*J90</f>
        <v>#N/A</v>
      </c>
      <c r="M90" s="256" t="s">
        <v>4</v>
      </c>
      <c r="N90" s="259" t="e">
        <f t="shared" ref="N90" si="10">L90^2</f>
        <v>#N/A</v>
      </c>
      <c r="O90" s="49" t="s">
        <v>19</v>
      </c>
      <c r="P90" s="49" t="s">
        <v>5</v>
      </c>
      <c r="Q90" s="50" t="s">
        <v>11</v>
      </c>
      <c r="R90" s="10"/>
      <c r="S90" s="6"/>
    </row>
    <row r="91" spans="1:19" ht="30" customHeight="1" x14ac:dyDescent="0.25">
      <c r="A91" s="32"/>
      <c r="B91" s="1415" t="s">
        <v>274</v>
      </c>
      <c r="C91" s="1416"/>
      <c r="D91" s="255"/>
      <c r="E91" s="252" t="e">
        <f>K14</f>
        <v>#N/A</v>
      </c>
      <c r="F91" s="256" t="str">
        <f>F14</f>
        <v>mL</v>
      </c>
      <c r="G91" s="251" t="e">
        <f>K14</f>
        <v>#N/A</v>
      </c>
      <c r="H91" s="260" t="e">
        <f>E91/G91</f>
        <v>#N/A</v>
      </c>
      <c r="I91" s="256" t="str">
        <f>F91</f>
        <v>mL</v>
      </c>
      <c r="J91" s="258" t="e">
        <f>+K80</f>
        <v>#N/A</v>
      </c>
      <c r="K91" s="256"/>
      <c r="L91" s="258" t="e">
        <f t="shared" ref="L91" si="11">H91*J91</f>
        <v>#N/A</v>
      </c>
      <c r="M91" s="256" t="s">
        <v>4</v>
      </c>
      <c r="N91" s="261" t="e">
        <f>L91^2</f>
        <v>#N/A</v>
      </c>
      <c r="O91" s="49" t="s">
        <v>19</v>
      </c>
      <c r="P91" s="49" t="s">
        <v>5</v>
      </c>
      <c r="Q91" s="50" t="s">
        <v>11</v>
      </c>
      <c r="R91" s="10"/>
      <c r="S91" s="6"/>
    </row>
    <row r="92" spans="1:19" s="6" customFormat="1" ht="5.0999999999999996" customHeight="1" x14ac:dyDescent="0.25">
      <c r="A92" s="173"/>
      <c r="B92" s="262"/>
      <c r="C92" s="263"/>
      <c r="D92" s="264"/>
      <c r="E92" s="265"/>
      <c r="F92" s="266"/>
      <c r="G92" s="267"/>
      <c r="H92" s="268"/>
      <c r="I92" s="269"/>
      <c r="J92" s="270"/>
      <c r="K92" s="271"/>
      <c r="L92" s="268"/>
      <c r="M92" s="268"/>
      <c r="N92" s="272"/>
      <c r="O92" s="268"/>
      <c r="P92" s="268"/>
      <c r="Q92" s="273"/>
      <c r="R92" s="4"/>
    </row>
    <row r="93" spans="1:19" s="47" customFormat="1" ht="37.5" customHeight="1" x14ac:dyDescent="0.25">
      <c r="A93" s="244"/>
      <c r="B93" s="1426" t="s">
        <v>152</v>
      </c>
      <c r="C93" s="1427"/>
      <c r="D93" s="274">
        <f>G45</f>
        <v>5.4999999999999997E-3</v>
      </c>
      <c r="E93" s="275">
        <f>G45</f>
        <v>5.4999999999999997E-3</v>
      </c>
      <c r="F93" s="250" t="s">
        <v>3</v>
      </c>
      <c r="G93" s="1039"/>
      <c r="H93" s="1039"/>
      <c r="I93" s="1039"/>
      <c r="J93" s="276"/>
      <c r="K93" s="1039"/>
      <c r="L93" s="1039"/>
      <c r="M93" s="1039"/>
      <c r="N93" s="1039"/>
      <c r="O93" s="1039"/>
      <c r="P93" s="1039"/>
      <c r="Q93" s="1040"/>
      <c r="S93" s="6"/>
    </row>
    <row r="94" spans="1:19" ht="30" customHeight="1" x14ac:dyDescent="0.25">
      <c r="A94" s="32"/>
      <c r="B94" s="1415" t="s">
        <v>153</v>
      </c>
      <c r="C94" s="1416"/>
      <c r="D94" s="255"/>
      <c r="E94" s="275" t="e">
        <f>E9</f>
        <v>#N/A</v>
      </c>
      <c r="F94" s="250" t="s">
        <v>3</v>
      </c>
      <c r="G94" s="48">
        <f>SQRT(12)</f>
        <v>3.4641016151377544</v>
      </c>
      <c r="H94" s="48" t="e">
        <f>E94/G94</f>
        <v>#N/A</v>
      </c>
      <c r="I94" s="911" t="s">
        <v>3</v>
      </c>
      <c r="J94" s="277" t="e">
        <f>K64</f>
        <v>#N/A</v>
      </c>
      <c r="K94" s="49" t="s">
        <v>21</v>
      </c>
      <c r="L94" s="48" t="e">
        <f t="shared" ref="L94:L107" si="12">H94*J94</f>
        <v>#N/A</v>
      </c>
      <c r="M94" s="49" t="s">
        <v>4</v>
      </c>
      <c r="N94" s="48" t="e">
        <f t="shared" ref="N94:N107" si="13">L94^2</f>
        <v>#N/A</v>
      </c>
      <c r="O94" s="49" t="s">
        <v>20</v>
      </c>
      <c r="P94" s="49" t="s">
        <v>5</v>
      </c>
      <c r="Q94" s="50" t="s">
        <v>11</v>
      </c>
      <c r="R94" s="10"/>
      <c r="S94" s="6"/>
    </row>
    <row r="95" spans="1:19" ht="30" customHeight="1" x14ac:dyDescent="0.25">
      <c r="A95" s="32"/>
      <c r="B95" s="1415" t="s">
        <v>154</v>
      </c>
      <c r="C95" s="1416"/>
      <c r="D95" s="255"/>
      <c r="E95" s="48" t="e">
        <f>I9</f>
        <v>#N/A</v>
      </c>
      <c r="F95" s="250" t="str">
        <f>F11</f>
        <v>°C</v>
      </c>
      <c r="G95" s="48" t="e">
        <f>O8</f>
        <v>#N/A</v>
      </c>
      <c r="H95" s="48" t="e">
        <f t="shared" ref="H95:H107" si="14">E95/G95</f>
        <v>#N/A</v>
      </c>
      <c r="I95" s="911" t="s">
        <v>3</v>
      </c>
      <c r="J95" s="277" t="e">
        <f>K64</f>
        <v>#N/A</v>
      </c>
      <c r="K95" s="49" t="s">
        <v>21</v>
      </c>
      <c r="L95" s="48" t="e">
        <f t="shared" si="12"/>
        <v>#N/A</v>
      </c>
      <c r="M95" s="49" t="s">
        <v>4</v>
      </c>
      <c r="N95" s="48" t="e">
        <f t="shared" si="13"/>
        <v>#N/A</v>
      </c>
      <c r="O95" s="49" t="s">
        <v>19</v>
      </c>
      <c r="P95" s="49" t="s">
        <v>150</v>
      </c>
      <c r="Q95" s="50">
        <v>50</v>
      </c>
      <c r="R95" s="10"/>
      <c r="S95" s="6"/>
    </row>
    <row r="96" spans="1:19" ht="30" customHeight="1" x14ac:dyDescent="0.25">
      <c r="A96" s="32"/>
      <c r="B96" s="1415" t="s">
        <v>151</v>
      </c>
      <c r="C96" s="1416"/>
      <c r="D96" s="255"/>
      <c r="E96" s="278" t="e">
        <f>K9</f>
        <v>#N/A</v>
      </c>
      <c r="F96" s="250" t="str">
        <f>F11</f>
        <v>°C</v>
      </c>
      <c r="G96" s="48">
        <f>SQRT(3)</f>
        <v>1.7320508075688772</v>
      </c>
      <c r="H96" s="48" t="e">
        <f t="shared" si="14"/>
        <v>#N/A</v>
      </c>
      <c r="I96" s="911" t="s">
        <v>3</v>
      </c>
      <c r="J96" s="277" t="e">
        <f>K64</f>
        <v>#N/A</v>
      </c>
      <c r="K96" s="49" t="s">
        <v>21</v>
      </c>
      <c r="L96" s="48" t="e">
        <f t="shared" si="12"/>
        <v>#N/A</v>
      </c>
      <c r="M96" s="49" t="s">
        <v>4</v>
      </c>
      <c r="N96" s="48" t="e">
        <f t="shared" si="13"/>
        <v>#N/A</v>
      </c>
      <c r="O96" s="49" t="s">
        <v>19</v>
      </c>
      <c r="P96" s="49" t="s">
        <v>5</v>
      </c>
      <c r="Q96" s="50" t="s">
        <v>11</v>
      </c>
      <c r="R96" s="10"/>
      <c r="S96" s="6"/>
    </row>
    <row r="97" spans="1:19" ht="30" customHeight="1" x14ac:dyDescent="0.25">
      <c r="A97" s="32"/>
      <c r="B97" s="1415" t="s">
        <v>155</v>
      </c>
      <c r="C97" s="1416"/>
      <c r="D97" s="255"/>
      <c r="E97" s="48">
        <f>(MAX(D40:D44)-(MIN(D40:D44)))</f>
        <v>0</v>
      </c>
      <c r="F97" s="250" t="str">
        <f>F11</f>
        <v>°C</v>
      </c>
      <c r="G97" s="48">
        <f>SQRT(12)</f>
        <v>3.4641016151377544</v>
      </c>
      <c r="H97" s="48">
        <f t="shared" si="14"/>
        <v>0</v>
      </c>
      <c r="I97" s="911" t="s">
        <v>3</v>
      </c>
      <c r="J97" s="277" t="e">
        <f>K64</f>
        <v>#N/A</v>
      </c>
      <c r="K97" s="49" t="s">
        <v>21</v>
      </c>
      <c r="L97" s="48" t="e">
        <f t="shared" si="12"/>
        <v>#N/A</v>
      </c>
      <c r="M97" s="49" t="s">
        <v>4</v>
      </c>
      <c r="N97" s="48" t="e">
        <f t="shared" si="13"/>
        <v>#N/A</v>
      </c>
      <c r="O97" s="49" t="s">
        <v>20</v>
      </c>
      <c r="P97" s="49" t="s">
        <v>5</v>
      </c>
      <c r="Q97" s="50" t="s">
        <v>11</v>
      </c>
      <c r="R97" s="10"/>
      <c r="S97" s="6"/>
    </row>
    <row r="98" spans="1:19" s="47" customFormat="1" ht="35.450000000000003" customHeight="1" x14ac:dyDescent="0.25">
      <c r="A98" s="244"/>
      <c r="B98" s="1424" t="s">
        <v>156</v>
      </c>
      <c r="C98" s="1425"/>
      <c r="D98" s="274">
        <f>M45</f>
        <v>-2.9000000000000005E-2</v>
      </c>
      <c r="E98" s="275">
        <f>M45</f>
        <v>-2.9000000000000005E-2</v>
      </c>
      <c r="F98" s="250" t="str">
        <f>F11</f>
        <v>°C</v>
      </c>
      <c r="G98" s="1039"/>
      <c r="H98" s="1039"/>
      <c r="I98" s="898"/>
      <c r="J98" s="276"/>
      <c r="K98" s="1039"/>
      <c r="L98" s="1039"/>
      <c r="M98" s="1039"/>
      <c r="N98" s="1039"/>
      <c r="O98" s="1039"/>
      <c r="P98" s="1039"/>
      <c r="Q98" s="1040"/>
      <c r="S98" s="6"/>
    </row>
    <row r="99" spans="1:19" ht="30" customHeight="1" x14ac:dyDescent="0.25">
      <c r="A99" s="32"/>
      <c r="B99" s="1415" t="s">
        <v>153</v>
      </c>
      <c r="C99" s="1416"/>
      <c r="D99" s="255" t="e">
        <f>E11</f>
        <v>#N/A</v>
      </c>
      <c r="E99" s="48" t="e">
        <f>E11</f>
        <v>#N/A</v>
      </c>
      <c r="F99" s="49" t="str">
        <f>F11</f>
        <v>°C</v>
      </c>
      <c r="G99" s="48">
        <f>SQRT(12)</f>
        <v>3.4641016151377544</v>
      </c>
      <c r="H99" s="48" t="e">
        <f t="shared" si="14"/>
        <v>#N/A</v>
      </c>
      <c r="I99" s="911" t="s">
        <v>3</v>
      </c>
      <c r="J99" s="277" t="e">
        <f>K66</f>
        <v>#N/A</v>
      </c>
      <c r="K99" s="49" t="s">
        <v>21</v>
      </c>
      <c r="L99" s="48" t="e">
        <f t="shared" si="12"/>
        <v>#N/A</v>
      </c>
      <c r="M99" s="49" t="s">
        <v>4</v>
      </c>
      <c r="N99" s="48" t="e">
        <f t="shared" si="13"/>
        <v>#N/A</v>
      </c>
      <c r="O99" s="49" t="s">
        <v>20</v>
      </c>
      <c r="P99" s="49" t="s">
        <v>5</v>
      </c>
      <c r="Q99" s="50" t="s">
        <v>11</v>
      </c>
      <c r="R99" s="10"/>
      <c r="S99" s="6"/>
    </row>
    <row r="100" spans="1:19" ht="30" customHeight="1" x14ac:dyDescent="0.25">
      <c r="A100" s="32"/>
      <c r="B100" s="1415" t="s">
        <v>154</v>
      </c>
      <c r="C100" s="1416"/>
      <c r="D100" s="255"/>
      <c r="E100" s="48" t="e">
        <f>I12</f>
        <v>#N/A</v>
      </c>
      <c r="F100" s="250" t="str">
        <f>F11</f>
        <v>°C</v>
      </c>
      <c r="G100" s="48" t="e">
        <f>O11</f>
        <v>#N/A</v>
      </c>
      <c r="H100" s="48" t="e">
        <f t="shared" si="14"/>
        <v>#N/A</v>
      </c>
      <c r="I100" s="911" t="s">
        <v>3</v>
      </c>
      <c r="J100" s="277" t="e">
        <f>K66</f>
        <v>#N/A</v>
      </c>
      <c r="K100" s="49" t="s">
        <v>21</v>
      </c>
      <c r="L100" s="48" t="e">
        <f>H100*J100</f>
        <v>#N/A</v>
      </c>
      <c r="M100" s="49" t="s">
        <v>4</v>
      </c>
      <c r="N100" s="48" t="e">
        <f>L100^2</f>
        <v>#N/A</v>
      </c>
      <c r="O100" s="49" t="s">
        <v>19</v>
      </c>
      <c r="P100" s="49" t="s">
        <v>150</v>
      </c>
      <c r="Q100" s="50">
        <v>50</v>
      </c>
      <c r="R100" s="10"/>
      <c r="S100" s="6"/>
    </row>
    <row r="101" spans="1:19" ht="30" customHeight="1" x14ac:dyDescent="0.25">
      <c r="A101" s="32"/>
      <c r="B101" s="1415" t="s">
        <v>151</v>
      </c>
      <c r="C101" s="1416"/>
      <c r="D101" s="279"/>
      <c r="E101" s="278" t="e">
        <f>K12</f>
        <v>#N/A</v>
      </c>
      <c r="F101" s="250" t="str">
        <f>F11</f>
        <v>°C</v>
      </c>
      <c r="G101" s="48">
        <f>SQRT(3)</f>
        <v>1.7320508075688772</v>
      </c>
      <c r="H101" s="48" t="e">
        <f t="shared" si="14"/>
        <v>#N/A</v>
      </c>
      <c r="I101" s="911" t="s">
        <v>3</v>
      </c>
      <c r="J101" s="277" t="e">
        <f>K66</f>
        <v>#N/A</v>
      </c>
      <c r="K101" s="49" t="s">
        <v>21</v>
      </c>
      <c r="L101" s="48" t="e">
        <f t="shared" si="12"/>
        <v>#N/A</v>
      </c>
      <c r="M101" s="49" t="s">
        <v>4</v>
      </c>
      <c r="N101" s="48" t="e">
        <f t="shared" si="13"/>
        <v>#N/A</v>
      </c>
      <c r="O101" s="49" t="s">
        <v>19</v>
      </c>
      <c r="P101" s="49" t="s">
        <v>5</v>
      </c>
      <c r="Q101" s="50" t="s">
        <v>11</v>
      </c>
      <c r="R101" s="10"/>
      <c r="S101" s="6"/>
    </row>
    <row r="102" spans="1:19" ht="30" customHeight="1" x14ac:dyDescent="0.25">
      <c r="A102" s="32"/>
      <c r="B102" s="1415" t="s">
        <v>155</v>
      </c>
      <c r="C102" s="1416"/>
      <c r="D102" s="249"/>
      <c r="E102" s="280">
        <f>(MAX(J40:J44)-(MIN(J40:J44)))</f>
        <v>0</v>
      </c>
      <c r="F102" s="250" t="str">
        <f>F11</f>
        <v>°C</v>
      </c>
      <c r="G102" s="48">
        <f>SQRT(12)</f>
        <v>3.4641016151377544</v>
      </c>
      <c r="H102" s="48">
        <f t="shared" si="14"/>
        <v>0</v>
      </c>
      <c r="I102" s="911" t="s">
        <v>3</v>
      </c>
      <c r="J102" s="277" t="e">
        <f>K66</f>
        <v>#N/A</v>
      </c>
      <c r="K102" s="49" t="s">
        <v>21</v>
      </c>
      <c r="L102" s="48" t="e">
        <f t="shared" si="12"/>
        <v>#N/A</v>
      </c>
      <c r="M102" s="49" t="s">
        <v>4</v>
      </c>
      <c r="N102" s="48" t="e">
        <f t="shared" si="13"/>
        <v>#N/A</v>
      </c>
      <c r="O102" s="49" t="s">
        <v>20</v>
      </c>
      <c r="P102" s="49" t="s">
        <v>5</v>
      </c>
      <c r="Q102" s="50" t="s">
        <v>11</v>
      </c>
      <c r="R102" s="10"/>
      <c r="S102" s="6"/>
    </row>
    <row r="103" spans="1:19" s="47" customFormat="1" ht="36" customHeight="1" x14ac:dyDescent="0.25">
      <c r="A103" s="244"/>
      <c r="B103" s="1424" t="s">
        <v>241</v>
      </c>
      <c r="C103" s="1425"/>
      <c r="D103" s="281">
        <f>D33</f>
        <v>-6.2863206736149993E-5</v>
      </c>
      <c r="E103" s="282">
        <f>D33</f>
        <v>-6.2863206736149993E-5</v>
      </c>
      <c r="F103" s="49" t="s">
        <v>10</v>
      </c>
      <c r="G103" s="1039"/>
      <c r="H103" s="1039"/>
      <c r="I103" s="1039"/>
      <c r="J103" s="276"/>
      <c r="K103" s="1039"/>
      <c r="L103" s="1039"/>
      <c r="M103" s="1039"/>
      <c r="N103" s="1039"/>
      <c r="O103" s="1039"/>
      <c r="P103" s="1039"/>
      <c r="Q103" s="1040"/>
      <c r="S103" s="6"/>
    </row>
    <row r="104" spans="1:19" ht="40.5" customHeight="1" x14ac:dyDescent="0.25">
      <c r="A104" s="32"/>
      <c r="B104" s="1415" t="s">
        <v>157</v>
      </c>
      <c r="C104" s="1416"/>
      <c r="D104" s="249"/>
      <c r="E104" s="48">
        <f>(D33*5)/100</f>
        <v>-3.1431603368074993E-6</v>
      </c>
      <c r="F104" s="49" t="s">
        <v>10</v>
      </c>
      <c r="G104" s="48">
        <f>SQRT(3)</f>
        <v>1.7320508075688772</v>
      </c>
      <c r="H104" s="48">
        <f t="shared" si="14"/>
        <v>-1.8147044665619647E-6</v>
      </c>
      <c r="I104" s="912" t="s">
        <v>485</v>
      </c>
      <c r="J104" s="251" t="e">
        <f>K72</f>
        <v>#N/A</v>
      </c>
      <c r="K104" s="914" t="s">
        <v>487</v>
      </c>
      <c r="L104" s="48" t="e">
        <f t="shared" si="12"/>
        <v>#N/A</v>
      </c>
      <c r="M104" s="49" t="s">
        <v>4</v>
      </c>
      <c r="N104" s="48" t="e">
        <f t="shared" si="13"/>
        <v>#N/A</v>
      </c>
      <c r="O104" s="49" t="s">
        <v>158</v>
      </c>
      <c r="P104" s="49" t="s">
        <v>5</v>
      </c>
      <c r="Q104" s="50" t="s">
        <v>11</v>
      </c>
      <c r="R104" s="10"/>
      <c r="S104" s="6"/>
    </row>
    <row r="105" spans="1:19" ht="40.5" customHeight="1" x14ac:dyDescent="0.25">
      <c r="A105" s="32"/>
      <c r="B105" s="1415" t="s">
        <v>159</v>
      </c>
      <c r="C105" s="1416"/>
      <c r="D105" s="283" t="s">
        <v>1</v>
      </c>
      <c r="E105" s="282" t="e">
        <f>(D29*5)/100</f>
        <v>#N/A</v>
      </c>
      <c r="F105" s="49" t="s">
        <v>10</v>
      </c>
      <c r="G105" s="48">
        <f>SQRT(3)</f>
        <v>1.7320508075688772</v>
      </c>
      <c r="H105" s="48" t="e">
        <f t="shared" si="14"/>
        <v>#N/A</v>
      </c>
      <c r="I105" s="912" t="s">
        <v>485</v>
      </c>
      <c r="J105" s="251" t="e">
        <f>K68</f>
        <v>#N/A</v>
      </c>
      <c r="K105" s="914" t="s">
        <v>487</v>
      </c>
      <c r="L105" s="48" t="e">
        <f t="shared" si="12"/>
        <v>#N/A</v>
      </c>
      <c r="M105" s="49" t="s">
        <v>4</v>
      </c>
      <c r="N105" s="48" t="e">
        <f t="shared" si="13"/>
        <v>#N/A</v>
      </c>
      <c r="O105" s="49" t="s">
        <v>160</v>
      </c>
      <c r="P105" s="49" t="s">
        <v>5</v>
      </c>
      <c r="Q105" s="50" t="s">
        <v>11</v>
      </c>
      <c r="R105" s="10"/>
      <c r="S105" s="6"/>
    </row>
    <row r="106" spans="1:19" ht="40.5" customHeight="1" x14ac:dyDescent="0.25">
      <c r="A106" s="32"/>
      <c r="B106" s="1415" t="s">
        <v>161</v>
      </c>
      <c r="C106" s="1416"/>
      <c r="D106" s="283" t="s">
        <v>0</v>
      </c>
      <c r="E106" s="282" t="e">
        <f>(F29*5)/100</f>
        <v>#N/A</v>
      </c>
      <c r="F106" s="49" t="s">
        <v>10</v>
      </c>
      <c r="G106" s="48">
        <f>SQRT(3)</f>
        <v>1.7320508075688772</v>
      </c>
      <c r="H106" s="48" t="e">
        <f t="shared" si="14"/>
        <v>#N/A</v>
      </c>
      <c r="I106" s="912" t="s">
        <v>485</v>
      </c>
      <c r="J106" s="251" t="e">
        <f>K70</f>
        <v>#N/A</v>
      </c>
      <c r="K106" s="914" t="s">
        <v>487</v>
      </c>
      <c r="L106" s="48" t="e">
        <f t="shared" si="12"/>
        <v>#N/A</v>
      </c>
      <c r="M106" s="49" t="s">
        <v>4</v>
      </c>
      <c r="N106" s="48" t="e">
        <f t="shared" si="13"/>
        <v>#N/A</v>
      </c>
      <c r="O106" s="49" t="s">
        <v>162</v>
      </c>
      <c r="P106" s="49" t="s">
        <v>5</v>
      </c>
      <c r="Q106" s="50" t="s">
        <v>11</v>
      </c>
      <c r="R106" s="10"/>
      <c r="S106" s="6"/>
    </row>
    <row r="107" spans="1:19" s="47" customFormat="1" ht="40.5" customHeight="1" x14ac:dyDescent="0.25">
      <c r="A107" s="32"/>
      <c r="B107" s="1415" t="s">
        <v>161</v>
      </c>
      <c r="C107" s="1416"/>
      <c r="D107" s="255" t="s">
        <v>33</v>
      </c>
      <c r="E107" s="913">
        <f>((0.0000099*0.075)/(SQRT(12)))</f>
        <v>2.1434128743664856E-7</v>
      </c>
      <c r="F107" s="49" t="s">
        <v>10</v>
      </c>
      <c r="G107" s="48">
        <f>SQRT(3)</f>
        <v>1.7320508075688772</v>
      </c>
      <c r="H107" s="251">
        <f t="shared" si="14"/>
        <v>1.2375000000000001E-7</v>
      </c>
      <c r="I107" s="912" t="s">
        <v>485</v>
      </c>
      <c r="J107" s="258" t="e">
        <f>D32</f>
        <v>#N/A</v>
      </c>
      <c r="K107" s="914" t="s">
        <v>487</v>
      </c>
      <c r="L107" s="259" t="e">
        <f t="shared" si="12"/>
        <v>#N/A</v>
      </c>
      <c r="M107" s="49" t="s">
        <v>4</v>
      </c>
      <c r="N107" s="261" t="e">
        <f t="shared" si="13"/>
        <v>#N/A</v>
      </c>
      <c r="O107" s="49" t="s">
        <v>162</v>
      </c>
      <c r="P107" s="49" t="s">
        <v>5</v>
      </c>
      <c r="Q107" s="50" t="s">
        <v>11</v>
      </c>
      <c r="S107" s="6"/>
    </row>
    <row r="108" spans="1:19" s="6" customFormat="1" ht="30" customHeight="1" thickBot="1" x14ac:dyDescent="0.3">
      <c r="A108" s="173"/>
      <c r="B108" s="173"/>
      <c r="C108" s="4"/>
      <c r="D108" s="4"/>
      <c r="E108" s="4"/>
      <c r="F108" s="4"/>
      <c r="G108" s="4"/>
      <c r="H108" s="4"/>
      <c r="I108" s="4"/>
      <c r="J108" s="4"/>
      <c r="K108" s="4"/>
      <c r="L108" s="4"/>
      <c r="M108" s="4"/>
      <c r="N108" s="4"/>
      <c r="O108" s="4"/>
      <c r="P108" s="4"/>
      <c r="Q108" s="178"/>
      <c r="R108" s="54"/>
    </row>
    <row r="109" spans="1:19" ht="30" customHeight="1" thickBot="1" x14ac:dyDescent="0.3">
      <c r="A109" s="32"/>
      <c r="B109" s="1428" t="s">
        <v>163</v>
      </c>
      <c r="C109" s="1429"/>
      <c r="D109" s="1429"/>
      <c r="E109" s="1429"/>
      <c r="F109" s="1429"/>
      <c r="G109" s="1429"/>
      <c r="H109" s="1429"/>
      <c r="I109" s="1429"/>
      <c r="J109" s="1429"/>
      <c r="K109" s="1429"/>
      <c r="L109" s="1429"/>
      <c r="M109" s="1429"/>
      <c r="N109" s="1429"/>
      <c r="O109" s="1429"/>
      <c r="P109" s="1429"/>
      <c r="Q109" s="1430"/>
      <c r="R109" s="9"/>
      <c r="S109" s="6"/>
    </row>
    <row r="110" spans="1:19" ht="30" customHeight="1" x14ac:dyDescent="0.25">
      <c r="A110" s="284"/>
      <c r="B110" s="1431" t="s">
        <v>164</v>
      </c>
      <c r="C110" s="1432"/>
      <c r="D110" s="1432"/>
      <c r="E110" s="56" t="e">
        <f>(3.1416*(D30)^2/4)*D31</f>
        <v>#N/A</v>
      </c>
      <c r="F110" s="57" t="s">
        <v>4</v>
      </c>
      <c r="G110" s="56">
        <f>SQRT(3)</f>
        <v>1.7320508075688772</v>
      </c>
      <c r="H110" s="56" t="e">
        <f>E110/G110</f>
        <v>#N/A</v>
      </c>
      <c r="I110" s="57" t="s">
        <v>4</v>
      </c>
      <c r="J110" s="56">
        <v>1</v>
      </c>
      <c r="K110" s="57"/>
      <c r="L110" s="56" t="e">
        <f>H110*J110</f>
        <v>#N/A</v>
      </c>
      <c r="M110" s="57" t="s">
        <v>4</v>
      </c>
      <c r="N110" s="56" t="e">
        <f>L110^2</f>
        <v>#N/A</v>
      </c>
      <c r="O110" s="57" t="s">
        <v>18</v>
      </c>
      <c r="P110" s="57" t="s">
        <v>5</v>
      </c>
      <c r="Q110" s="58" t="s">
        <v>11</v>
      </c>
      <c r="R110" s="10"/>
      <c r="S110" s="6"/>
    </row>
    <row r="111" spans="1:19" ht="30" customHeight="1" x14ac:dyDescent="0.25">
      <c r="A111" s="284"/>
      <c r="B111" s="1433" t="s">
        <v>165</v>
      </c>
      <c r="C111" s="1434"/>
      <c r="D111" s="1434"/>
      <c r="E111" s="915" t="e">
        <f>((3.1416*(F30)^2)/4)*F31</f>
        <v>#N/A</v>
      </c>
      <c r="F111" s="49" t="s">
        <v>4</v>
      </c>
      <c r="G111" s="48">
        <f>SQRT(3)</f>
        <v>1.7320508075688772</v>
      </c>
      <c r="H111" s="48" t="e">
        <f>E111/G111</f>
        <v>#N/A</v>
      </c>
      <c r="I111" s="49" t="s">
        <v>4</v>
      </c>
      <c r="J111" s="48">
        <v>1</v>
      </c>
      <c r="K111" s="49"/>
      <c r="L111" s="48" t="e">
        <f>H111*J111</f>
        <v>#N/A</v>
      </c>
      <c r="M111" s="49" t="s">
        <v>4</v>
      </c>
      <c r="N111" s="48" t="e">
        <f>L111^2</f>
        <v>#N/A</v>
      </c>
      <c r="O111" s="49" t="s">
        <v>18</v>
      </c>
      <c r="P111" s="49" t="s">
        <v>5</v>
      </c>
      <c r="Q111" s="50" t="s">
        <v>11</v>
      </c>
      <c r="R111" s="10"/>
      <c r="S111" s="6"/>
    </row>
    <row r="112" spans="1:19" ht="30" customHeight="1" x14ac:dyDescent="0.25">
      <c r="A112" s="32"/>
      <c r="B112" s="1433" t="s">
        <v>166</v>
      </c>
      <c r="C112" s="1434"/>
      <c r="D112" s="1434"/>
      <c r="E112" s="285" t="e">
        <f>H57</f>
        <v>#N/A</v>
      </c>
      <c r="F112" s="49" t="s">
        <v>4</v>
      </c>
      <c r="G112" s="280">
        <f>SQRT(5)</f>
        <v>2.2360679774997898</v>
      </c>
      <c r="H112" s="251" t="e">
        <f>E112/G112</f>
        <v>#N/A</v>
      </c>
      <c r="I112" s="49" t="s">
        <v>4</v>
      </c>
      <c r="J112" s="72">
        <v>1</v>
      </c>
      <c r="K112" s="49"/>
      <c r="L112" s="48" t="e">
        <f>H112*J112</f>
        <v>#N/A</v>
      </c>
      <c r="M112" s="49" t="s">
        <v>4</v>
      </c>
      <c r="N112" s="275" t="e">
        <f>L112^2</f>
        <v>#N/A</v>
      </c>
      <c r="O112" s="49" t="s">
        <v>6</v>
      </c>
      <c r="P112" s="49" t="s">
        <v>150</v>
      </c>
      <c r="Q112" s="50">
        <f>B44-1</f>
        <v>4</v>
      </c>
      <c r="R112" s="10"/>
      <c r="S112" s="6"/>
    </row>
    <row r="113" spans="1:31" ht="30" customHeight="1" thickBot="1" x14ac:dyDescent="0.3">
      <c r="A113" s="286" t="s">
        <v>167</v>
      </c>
      <c r="B113" s="1435" t="s">
        <v>239</v>
      </c>
      <c r="C113" s="1436"/>
      <c r="D113" s="1436"/>
      <c r="E113" s="916" t="e">
        <f>O64/10000</f>
        <v>#N/A</v>
      </c>
      <c r="F113" s="51" t="s">
        <v>4</v>
      </c>
      <c r="G113" s="916">
        <f>SQRT(3)</f>
        <v>1.7320508075688772</v>
      </c>
      <c r="H113" s="52" t="e">
        <f>E113/G113</f>
        <v>#N/A</v>
      </c>
      <c r="I113" s="51" t="s">
        <v>4</v>
      </c>
      <c r="J113" s="52">
        <v>1</v>
      </c>
      <c r="K113" s="51"/>
      <c r="L113" s="52" t="e">
        <f>H113*J113</f>
        <v>#N/A</v>
      </c>
      <c r="M113" s="51" t="s">
        <v>4</v>
      </c>
      <c r="N113" s="80" t="e">
        <f>L113^2</f>
        <v>#N/A</v>
      </c>
      <c r="O113" s="51" t="s">
        <v>169</v>
      </c>
      <c r="P113" s="51" t="s">
        <v>5</v>
      </c>
      <c r="Q113" s="53" t="s">
        <v>11</v>
      </c>
      <c r="R113" s="10"/>
      <c r="S113" s="6"/>
    </row>
    <row r="114" spans="1:31" s="6" customFormat="1" ht="39.950000000000003" customHeight="1" thickBot="1" x14ac:dyDescent="0.3">
      <c r="A114" s="173"/>
      <c r="B114" s="1437"/>
      <c r="C114" s="1437"/>
      <c r="D114" s="1437"/>
      <c r="E114" s="1050"/>
      <c r="F114" s="1050"/>
      <c r="G114" s="287"/>
      <c r="H114" s="1050"/>
      <c r="I114" s="1050"/>
      <c r="J114" s="1050"/>
      <c r="K114" s="1050"/>
      <c r="L114" s="288"/>
      <c r="M114" s="289"/>
      <c r="N114" s="593" t="e">
        <f>SQRT(SUM(N85:N86,N89:N91,N94:N97,N99:N102,N104:N106,N107,N110,N111,N112,N113,))</f>
        <v>#N/A</v>
      </c>
      <c r="O114" s="1050"/>
      <c r="P114" s="287"/>
      <c r="Q114" s="287"/>
      <c r="R114" s="4"/>
    </row>
    <row r="115" spans="1:31" s="9" customFormat="1" ht="30" customHeight="1" thickBot="1" x14ac:dyDescent="0.3">
      <c r="A115" s="32"/>
      <c r="B115" s="1400" t="s">
        <v>171</v>
      </c>
      <c r="C115" s="1401"/>
      <c r="D115" s="1401"/>
      <c r="E115" s="1401"/>
      <c r="F115" s="1401"/>
      <c r="G115" s="1401"/>
      <c r="H115" s="1401"/>
      <c r="I115" s="1401"/>
      <c r="J115" s="1402"/>
      <c r="K115" s="60"/>
      <c r="L115" s="1403" t="s">
        <v>170</v>
      </c>
      <c r="M115" s="1404"/>
      <c r="N115" s="290" t="e">
        <f>E118*N114</f>
        <v>#N/A</v>
      </c>
      <c r="O115" s="60"/>
      <c r="P115" s="60"/>
      <c r="Q115" s="60"/>
      <c r="R115" s="60"/>
      <c r="S115" s="6"/>
    </row>
    <row r="116" spans="1:31" s="9" customFormat="1" ht="30" customHeight="1" thickBot="1" x14ac:dyDescent="0.3">
      <c r="A116" s="32"/>
      <c r="B116" s="543"/>
      <c r="C116" s="554" t="s">
        <v>172</v>
      </c>
      <c r="D116" s="554" t="s">
        <v>173</v>
      </c>
      <c r="E116" s="554" t="s">
        <v>141</v>
      </c>
      <c r="F116" s="554" t="s">
        <v>7</v>
      </c>
      <c r="G116" s="554" t="s">
        <v>547</v>
      </c>
      <c r="H116" s="554" t="s">
        <v>8</v>
      </c>
      <c r="I116" s="554" t="s">
        <v>174</v>
      </c>
      <c r="J116" s="555" t="s">
        <v>175</v>
      </c>
      <c r="K116" s="292"/>
      <c r="L116" s="1422" t="s">
        <v>17</v>
      </c>
      <c r="M116" s="1423"/>
      <c r="N116" s="293" t="e">
        <f>(N114^4)/((L85^4/Q85)+(L95^4/Q95)+(L100^4/Q100)+(L89^4/Q89)+(L112^4/Q112))</f>
        <v>#N/A</v>
      </c>
      <c r="O116" s="10"/>
      <c r="P116" s="10"/>
      <c r="Q116" s="10"/>
      <c r="R116" s="60"/>
      <c r="S116" s="6"/>
      <c r="U116" s="59"/>
      <c r="V116" s="59"/>
      <c r="W116" s="59"/>
    </row>
    <row r="117" spans="1:31" s="9" customFormat="1" ht="30" customHeight="1" thickBot="1" x14ac:dyDescent="0.3">
      <c r="A117" s="32"/>
      <c r="B117" s="544" t="s">
        <v>4</v>
      </c>
      <c r="C117" s="542" t="e">
        <f>H56</f>
        <v>#N/A</v>
      </c>
      <c r="D117" s="601" t="e">
        <f>N114</f>
        <v>#N/A</v>
      </c>
      <c r="E117" s="591"/>
      <c r="F117" s="551" t="e">
        <f>(D117*$E$118)</f>
        <v>#N/A</v>
      </c>
      <c r="G117" s="546"/>
      <c r="H117" s="587" t="e">
        <f>C117-C7</f>
        <v>#N/A</v>
      </c>
      <c r="I117" s="587" t="e">
        <f>ABS(H117)</f>
        <v>#N/A</v>
      </c>
      <c r="J117" s="294" t="e">
        <f>F117*I117</f>
        <v>#N/A</v>
      </c>
      <c r="K117" s="10"/>
      <c r="L117" s="10"/>
      <c r="O117" s="10"/>
      <c r="P117" s="10"/>
      <c r="Q117" s="10"/>
      <c r="R117" s="60"/>
      <c r="S117" s="6"/>
      <c r="U117" s="59"/>
      <c r="V117" s="59"/>
      <c r="W117" s="59"/>
    </row>
    <row r="118" spans="1:31" ht="30" customHeight="1" thickBot="1" x14ac:dyDescent="0.3">
      <c r="A118" s="32"/>
      <c r="B118" s="544" t="s">
        <v>176</v>
      </c>
      <c r="C118" s="602" t="e">
        <f>C117/L26</f>
        <v>#N/A</v>
      </c>
      <c r="D118" s="549" t="e">
        <f>D117/L26</f>
        <v>#N/A</v>
      </c>
      <c r="E118" s="969">
        <v>2</v>
      </c>
      <c r="F118" s="549" t="e">
        <f>D118*$E$118</f>
        <v>#N/A</v>
      </c>
      <c r="G118" s="986">
        <v>95.45</v>
      </c>
      <c r="H118" s="550" t="e">
        <f>H117/L26</f>
        <v>#N/A</v>
      </c>
      <c r="I118" s="550" t="e">
        <f>ABS(H118)</f>
        <v>#N/A</v>
      </c>
      <c r="J118" s="294" t="e">
        <f>F118*I118</f>
        <v>#N/A</v>
      </c>
      <c r="M118" s="1398" t="s">
        <v>141</v>
      </c>
      <c r="N118" s="1399"/>
      <c r="Q118" s="10"/>
      <c r="R118" s="10"/>
      <c r="S118" s="6"/>
    </row>
    <row r="119" spans="1:31" ht="29.25" customHeight="1" thickBot="1" x14ac:dyDescent="0.3">
      <c r="A119" s="32"/>
      <c r="B119" s="544" t="s">
        <v>9</v>
      </c>
      <c r="C119" s="550" t="e">
        <f>C118/L23</f>
        <v>#N/A</v>
      </c>
      <c r="D119" s="603" t="e">
        <f>D118/L23</f>
        <v>#N/A</v>
      </c>
      <c r="E119" s="591"/>
      <c r="F119" s="552" t="e">
        <f>D119*$E$118</f>
        <v>#N/A</v>
      </c>
      <c r="G119" s="546"/>
      <c r="H119" s="550" t="e">
        <f>H118/L23</f>
        <v>#N/A</v>
      </c>
      <c r="I119" s="547" t="e">
        <f>ABS(H119)</f>
        <v>#N/A</v>
      </c>
      <c r="J119" s="548" t="e">
        <f>F119*I119</f>
        <v>#N/A</v>
      </c>
      <c r="M119" s="966" t="e">
        <f>_xlfn.T.INV.2T(0.05,N116)</f>
        <v>#N/A</v>
      </c>
      <c r="N119" s="295" t="e">
        <f>TINV(0.05,N116)</f>
        <v>#N/A</v>
      </c>
      <c r="Q119" s="10"/>
      <c r="R119" s="10"/>
      <c r="S119" s="6"/>
    </row>
    <row r="120" spans="1:31" s="6" customFormat="1" ht="30" customHeight="1" thickBot="1" x14ac:dyDescent="0.3">
      <c r="A120" s="32"/>
      <c r="B120" s="545" t="s">
        <v>467</v>
      </c>
      <c r="C120" s="568" t="e">
        <f>(C119*100)/$M$23</f>
        <v>#N/A</v>
      </c>
      <c r="D120" s="568" t="e">
        <f>(D119*100)/$M$23</f>
        <v>#N/A</v>
      </c>
      <c r="E120" s="592"/>
      <c r="F120" s="568" t="e">
        <f t="shared" ref="F120:J120" si="15">(F119*100)/$M$23</f>
        <v>#N/A</v>
      </c>
      <c r="G120" s="569"/>
      <c r="H120" s="568" t="e">
        <f t="shared" si="15"/>
        <v>#N/A</v>
      </c>
      <c r="I120" s="568" t="e">
        <f t="shared" si="15"/>
        <v>#N/A</v>
      </c>
      <c r="J120" s="970" t="e">
        <f t="shared" si="15"/>
        <v>#N/A</v>
      </c>
      <c r="T120" s="296"/>
      <c r="U120" s="296"/>
      <c r="V120" s="296"/>
      <c r="W120" s="296"/>
      <c r="X120" s="296"/>
      <c r="Y120" s="296"/>
      <c r="Z120" s="296"/>
      <c r="AA120" s="296"/>
      <c r="AB120" s="4"/>
      <c r="AC120" s="4"/>
      <c r="AD120" s="4"/>
      <c r="AE120" s="4"/>
    </row>
    <row r="121" spans="1:31" ht="30" customHeight="1" x14ac:dyDescent="0.25">
      <c r="A121" s="32"/>
      <c r="B121" s="2"/>
      <c r="C121" s="2"/>
      <c r="D121" s="2"/>
      <c r="E121" s="2"/>
      <c r="F121" s="2"/>
      <c r="G121" s="2"/>
      <c r="H121" s="2"/>
      <c r="I121" s="2"/>
      <c r="J121" s="2"/>
      <c r="K121" s="2"/>
      <c r="L121" s="2"/>
      <c r="M121" s="2"/>
      <c r="N121" s="2"/>
      <c r="O121" s="2"/>
      <c r="P121" s="2"/>
    </row>
    <row r="122" spans="1:31" ht="30" customHeight="1" x14ac:dyDescent="0.25">
      <c r="A122" s="32"/>
    </row>
  </sheetData>
  <sheetProtection algorithmName="SHA-512" hashValue="k2sayL+ertVh2eftVh5BHu1SN10PM+d4/AVIZVrOmz7f7cTIjpPUIgiE3sBzSlB/Jg/i/t0bBCtZj4Jha/8iYw==" saltValue="m87Hfo2jTudaV9mjC6bqDg==" spinCount="100000" sheet="1" objects="1" scenarios="1"/>
  <dataConsolidate/>
  <mergeCells count="141">
    <mergeCell ref="D35:G35"/>
    <mergeCell ref="B23:C23"/>
    <mergeCell ref="I21:I22"/>
    <mergeCell ref="J21:J22"/>
    <mergeCell ref="K21:K22"/>
    <mergeCell ref="O21:O22"/>
    <mergeCell ref="B20:G20"/>
    <mergeCell ref="D21:E21"/>
    <mergeCell ref="F21:G21"/>
    <mergeCell ref="B21:C21"/>
    <mergeCell ref="L21:L22"/>
    <mergeCell ref="L34:M34"/>
    <mergeCell ref="L35:M35"/>
    <mergeCell ref="M3:N3"/>
    <mergeCell ref="S15:S16"/>
    <mergeCell ref="B22:C22"/>
    <mergeCell ref="B24:C24"/>
    <mergeCell ref="B25:C25"/>
    <mergeCell ref="B26:C26"/>
    <mergeCell ref="B27:C27"/>
    <mergeCell ref="B28:C28"/>
    <mergeCell ref="B33:C33"/>
    <mergeCell ref="B29:C29"/>
    <mergeCell ref="B30:C30"/>
    <mergeCell ref="B31:C31"/>
    <mergeCell ref="B32:C32"/>
    <mergeCell ref="M21:M22"/>
    <mergeCell ref="M15:M16"/>
    <mergeCell ref="P21:P22"/>
    <mergeCell ref="Q21:Q22"/>
    <mergeCell ref="R21:R22"/>
    <mergeCell ref="I20:R20"/>
    <mergeCell ref="I32:K32"/>
    <mergeCell ref="L32:N32"/>
    <mergeCell ref="L33:M33"/>
    <mergeCell ref="I31:P31"/>
    <mergeCell ref="C45:F45"/>
    <mergeCell ref="A15:A16"/>
    <mergeCell ref="C15:C16"/>
    <mergeCell ref="A11:A13"/>
    <mergeCell ref="A1:B1"/>
    <mergeCell ref="D1:R1"/>
    <mergeCell ref="A5:R5"/>
    <mergeCell ref="Q6:R6"/>
    <mergeCell ref="A8:A10"/>
    <mergeCell ref="I15:I16"/>
    <mergeCell ref="J15:J16"/>
    <mergeCell ref="K15:K16"/>
    <mergeCell ref="D15:D16"/>
    <mergeCell ref="E15:E16"/>
    <mergeCell ref="F15:F16"/>
    <mergeCell ref="G15:G16"/>
    <mergeCell ref="H15:H16"/>
    <mergeCell ref="D3:E3"/>
    <mergeCell ref="P15:P16"/>
    <mergeCell ref="O15:O16"/>
    <mergeCell ref="B15:B16"/>
    <mergeCell ref="J3:K3"/>
    <mergeCell ref="L15:L16"/>
    <mergeCell ref="N15:N16"/>
    <mergeCell ref="O53:O55"/>
    <mergeCell ref="E57:G57"/>
    <mergeCell ref="E58:G58"/>
    <mergeCell ref="B60:L60"/>
    <mergeCell ref="N61:N62"/>
    <mergeCell ref="O61:O62"/>
    <mergeCell ref="K29:L29"/>
    <mergeCell ref="N29:O29"/>
    <mergeCell ref="P29:Q29"/>
    <mergeCell ref="I29:J29"/>
    <mergeCell ref="B35:C35"/>
    <mergeCell ref="B48:L48"/>
    <mergeCell ref="E49:L49"/>
    <mergeCell ref="I34:J34"/>
    <mergeCell ref="I38:N38"/>
    <mergeCell ref="I33:J33"/>
    <mergeCell ref="I35:J35"/>
    <mergeCell ref="C37:N37"/>
    <mergeCell ref="C38:G38"/>
    <mergeCell ref="O50:O52"/>
    <mergeCell ref="P37:S37"/>
    <mergeCell ref="E50:F50"/>
    <mergeCell ref="E51:F51"/>
    <mergeCell ref="E52:F52"/>
    <mergeCell ref="B107:C107"/>
    <mergeCell ref="B109:Q109"/>
    <mergeCell ref="B110:D110"/>
    <mergeCell ref="B111:D111"/>
    <mergeCell ref="B112:D112"/>
    <mergeCell ref="B113:D113"/>
    <mergeCell ref="B114:D114"/>
    <mergeCell ref="J45:L45"/>
    <mergeCell ref="A85:A86"/>
    <mergeCell ref="B85:C85"/>
    <mergeCell ref="B86:C86"/>
    <mergeCell ref="B66:E66"/>
    <mergeCell ref="B68:F68"/>
    <mergeCell ref="B70:F70"/>
    <mergeCell ref="B72:F72"/>
    <mergeCell ref="B74:D74"/>
    <mergeCell ref="B82:Q82"/>
    <mergeCell ref="B80:F80"/>
    <mergeCell ref="E83:F83"/>
    <mergeCell ref="H83:I83"/>
    <mergeCell ref="J83:K83"/>
    <mergeCell ref="L83:M83"/>
    <mergeCell ref="B76:D76"/>
    <mergeCell ref="E56:G56"/>
    <mergeCell ref="B104:C104"/>
    <mergeCell ref="B93:C93"/>
    <mergeCell ref="B94:C94"/>
    <mergeCell ref="B95:C95"/>
    <mergeCell ref="B96:C96"/>
    <mergeCell ref="B97:C97"/>
    <mergeCell ref="B98:C98"/>
    <mergeCell ref="B105:C105"/>
    <mergeCell ref="B106:C106"/>
    <mergeCell ref="M118:N118"/>
    <mergeCell ref="B115:J115"/>
    <mergeCell ref="L115:M115"/>
    <mergeCell ref="E53:F53"/>
    <mergeCell ref="B64:E64"/>
    <mergeCell ref="B62:D62"/>
    <mergeCell ref="E54:F54"/>
    <mergeCell ref="E55:F55"/>
    <mergeCell ref="P61:P62"/>
    <mergeCell ref="B87:D87"/>
    <mergeCell ref="B78:D78"/>
    <mergeCell ref="B83:C83"/>
    <mergeCell ref="B89:C89"/>
    <mergeCell ref="B91:C91"/>
    <mergeCell ref="B90:C90"/>
    <mergeCell ref="B84:C84"/>
    <mergeCell ref="E88:Q88"/>
    <mergeCell ref="B88:C88"/>
    <mergeCell ref="L116:M116"/>
    <mergeCell ref="B99:C99"/>
    <mergeCell ref="B100:C100"/>
    <mergeCell ref="B101:C101"/>
    <mergeCell ref="B102:C102"/>
    <mergeCell ref="B103:C103"/>
  </mergeCells>
  <conditionalFormatting sqref="Q50">
    <cfRule type="colorScale" priority="1">
      <colorScale>
        <cfvo type="min"/>
        <cfvo type="max"/>
        <color rgb="FFFF7128"/>
        <color rgb="FFFFEF9C"/>
      </colorScale>
    </cfRule>
    <cfRule type="cellIs" dxfId="2" priority="2" operator="lessThanOrEqual">
      <formula>$Q$26</formula>
    </cfRule>
  </conditionalFormatting>
  <pageMargins left="0.70866141732283472" right="0.70866141732283472" top="0.74803149606299213" bottom="0.74803149606299213" header="0.31496062992125984" footer="0.31496062992125984"/>
  <pageSetup scale="25" orientation="portrait" horizontalDpi="4294967293" r:id="rId1"/>
  <headerFooter>
    <oddFooter xml:space="preserve">&amp;RRT03-F11 Vr.4(2018-07-26)
</oddFooter>
  </headerFooter>
  <rowBreaks count="1" manualBreakCount="1">
    <brk id="58" max="18" man="1"/>
  </rowBreaks>
  <ignoredErrors>
    <ignoredError sqref="O23:Q23 O24:O26 Q27 P24:Q26" evalError="1"/>
    <ignoredError sqref="Q54" evalError="1" unlockedFormula="1"/>
  </ignoredError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DATOS!$B$14:$B$16</xm:f>
          </x14:formula1>
          <xm:sqref>H22</xm:sqref>
        </x14:dataValidation>
        <x14:dataValidation type="list" allowBlank="1" showInputMessage="1" showErrorMessage="1">
          <x14:formula1>
            <xm:f>DATOS!$D$7:$D$9</xm:f>
          </x14:formula1>
          <xm:sqref>S3</xm:sqref>
        </x14:dataValidation>
        <x14:dataValidation type="list" allowBlank="1" showInputMessage="1" showErrorMessage="1">
          <x14:formula1>
            <xm:f>DATOS!$C$30:$C$32</xm:f>
          </x14:formula1>
          <xm:sqref>S7</xm:sqref>
        </x14:dataValidation>
        <x14:dataValidation type="list" allowBlank="1" showInputMessage="1" showErrorMessage="1">
          <x14:formula1>
            <xm:f>DATOS!$C$41:$C$44</xm:f>
          </x14:formula1>
          <xm:sqref>S8:S10</xm:sqref>
        </x14:dataValidation>
        <x14:dataValidation type="list" allowBlank="1" showInputMessage="1" showErrorMessage="1">
          <x14:formula1>
            <xm:f>DATOS!$C$107:$C$112</xm:f>
          </x14:formula1>
          <xm:sqref>S14</xm:sqref>
        </x14:dataValidation>
        <x14:dataValidation type="list" allowBlank="1" showInputMessage="1" showErrorMessage="1">
          <x14:formula1>
            <xm:f>DATOS!$C$116:$C$122</xm:f>
          </x14:formula1>
          <xm:sqref>S15:S16</xm:sqref>
        </x14:dataValidation>
        <x14:dataValidation type="list" allowBlank="1" showInputMessage="1" showErrorMessage="1">
          <x14:formula1>
            <xm:f>DATOS!$C$126:$C$127</xm:f>
          </x14:formula1>
          <xm:sqref>S17</xm:sqref>
        </x14:dataValidation>
        <x14:dataValidation type="list" allowBlank="1" showInputMessage="1" showErrorMessage="1">
          <x14:formula1>
            <xm:f>DATOS!$C$132:$C$147</xm:f>
          </x14:formula1>
          <xm:sqref>S18</xm:sqref>
        </x14:dataValidation>
        <x14:dataValidation type="list" allowBlank="1" showInputMessage="1" showErrorMessage="1">
          <x14:formula1>
            <xm:f>DATOS!$C$37:$C$40</xm:f>
          </x14:formula1>
          <xm:sqref>S11:S13</xm:sqref>
        </x14:dataValidation>
        <x14:dataValidation type="list" allowBlank="1" showInputMessage="1" showErrorMessage="1">
          <x14:formula1>
            <xm:f>DATOS!$B$24:$B$26</xm:f>
          </x14:formula1>
          <xm:sqref>A22</xm:sqref>
        </x14:dataValidation>
        <x14:dataValidation type="list" allowBlank="1" showInputMessage="1" showErrorMessage="1">
          <x14:formula1>
            <xm:f>DATOS!$O$5:$O$9</xm:f>
          </x14:formula1>
          <xm:sqref>H35</xm:sqref>
        </x14:dataValidation>
        <x14:dataValidation type="list" allowBlank="1" showInputMessage="1" showErrorMessage="1">
          <x14:formula1>
            <xm:f>DATOS!$C$50:$C$103</xm:f>
          </x14:formula1>
          <xm:sqref>Q32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1"/>
  <sheetViews>
    <sheetView showGridLines="0" view="pageBreakPreview" topLeftCell="A110" zoomScaleNormal="40" zoomScaleSheetLayoutView="100" workbookViewId="0">
      <selection activeCell="F117" sqref="F117"/>
    </sheetView>
  </sheetViews>
  <sheetFormatPr baseColWidth="10" defaultRowHeight="14.25" x14ac:dyDescent="0.2"/>
  <cols>
    <col min="1" max="1" width="20.7109375" style="64" customWidth="1"/>
    <col min="2" max="2" width="18" style="64" customWidth="1"/>
    <col min="3" max="3" width="13" style="64" customWidth="1"/>
    <col min="4" max="4" width="15.28515625" style="64" customWidth="1"/>
    <col min="5" max="5" width="12.7109375" style="64" customWidth="1"/>
    <col min="6" max="7" width="11.5703125" style="64" customWidth="1"/>
    <col min="8" max="8" width="12.7109375" style="64" customWidth="1"/>
    <col min="9" max="9" width="11.5703125" style="64" customWidth="1"/>
    <col min="10" max="12" width="12.7109375" style="64" customWidth="1"/>
    <col min="13" max="13" width="11.5703125" style="64" customWidth="1"/>
    <col min="14" max="14" width="13.7109375" style="64" customWidth="1"/>
    <col min="15" max="15" width="21" style="64" customWidth="1"/>
    <col min="16" max="16" width="11.5703125" style="64" customWidth="1"/>
    <col min="17" max="17" width="13.5703125" style="64" customWidth="1"/>
    <col min="18" max="18" width="11.5703125" style="64" customWidth="1"/>
    <col min="19" max="24" width="11.42578125" style="64"/>
    <col min="25" max="25" width="11.7109375" style="64" customWidth="1"/>
    <col min="26" max="16384" width="11.42578125" style="64"/>
  </cols>
  <sheetData>
    <row r="1" spans="1:19" s="2" customFormat="1" ht="75" customHeight="1" thickBot="1" x14ac:dyDescent="0.3">
      <c r="A1" s="1488"/>
      <c r="B1" s="1489"/>
      <c r="C1" s="1"/>
      <c r="D1" s="1556" t="s">
        <v>576</v>
      </c>
      <c r="E1" s="1557"/>
      <c r="F1" s="1557"/>
      <c r="G1" s="1557"/>
      <c r="H1" s="1557"/>
      <c r="I1" s="1557"/>
      <c r="J1" s="1557"/>
      <c r="K1" s="1557"/>
      <c r="L1" s="1557"/>
      <c r="M1" s="1557"/>
      <c r="N1" s="1557"/>
      <c r="O1" s="1557"/>
      <c r="P1" s="1557"/>
      <c r="Q1" s="1557"/>
      <c r="R1" s="1558"/>
    </row>
    <row r="2" spans="1:19" s="6" customFormat="1" ht="5.0999999999999996" customHeight="1" thickBot="1" x14ac:dyDescent="0.3">
      <c r="A2" s="3"/>
      <c r="B2" s="3"/>
      <c r="C2" s="4"/>
      <c r="D2" s="5"/>
      <c r="E2" s="5"/>
      <c r="F2" s="5"/>
      <c r="G2" s="5"/>
      <c r="H2" s="5"/>
      <c r="I2" s="5"/>
      <c r="J2" s="5"/>
      <c r="K2" s="5"/>
      <c r="L2" s="5"/>
      <c r="M2" s="5"/>
      <c r="N2" s="5"/>
      <c r="O2" s="5"/>
      <c r="P2" s="5"/>
      <c r="Q2" s="5"/>
      <c r="R2" s="5"/>
    </row>
    <row r="3" spans="1:19" s="7" customFormat="1" ht="30" customHeight="1" thickBot="1" x14ac:dyDescent="0.3">
      <c r="A3" s="86" t="s">
        <v>67</v>
      </c>
      <c r="B3" s="315" t="e">
        <f>VLOOKUP($S3,DATOS!$D$7:$N$19,2,FALSE)</f>
        <v>#N/A</v>
      </c>
      <c r="C3" s="87" t="s">
        <v>249</v>
      </c>
      <c r="D3" s="1559" t="e">
        <f>VLOOKUP($S$3,DATOS!$D$7:$N$19,3,FALSE)</f>
        <v>#N/A</v>
      </c>
      <c r="E3" s="1560"/>
      <c r="F3" s="88" t="s">
        <v>574</v>
      </c>
      <c r="G3" s="1561" t="e">
        <f>VLOOKUP($S$3,DATOS!$D$7:$N$19,7,FALSE)</f>
        <v>#N/A</v>
      </c>
      <c r="H3" s="1561"/>
      <c r="I3" s="88" t="s">
        <v>250</v>
      </c>
      <c r="J3" s="1562" t="e">
        <f>VLOOKUP($S$3,DATOS!$D$7:$N$19,4,FALSE)</f>
        <v>#N/A</v>
      </c>
      <c r="K3" s="1562"/>
      <c r="L3" s="88" t="s">
        <v>31</v>
      </c>
      <c r="M3" s="1561" t="e">
        <f>VLOOKUP($S$3,DATOS!$D$7:$N$19,6,FALSE)</f>
        <v>#N/A</v>
      </c>
      <c r="N3" s="1561"/>
      <c r="O3" s="88" t="s">
        <v>252</v>
      </c>
      <c r="P3" s="1561" t="e">
        <f>VLOOKUP($S$3,DATOS!$D$7:$N$19,11,FALSE)</f>
        <v>#N/A</v>
      </c>
      <c r="Q3" s="1561"/>
      <c r="R3" s="1563"/>
      <c r="S3" s="314"/>
    </row>
    <row r="4" spans="1:19" s="7" customFormat="1" ht="5.0999999999999996" customHeight="1" thickBot="1" x14ac:dyDescent="0.3"/>
    <row r="5" spans="1:19" s="7" customFormat="1" ht="30" customHeight="1" thickBot="1" x14ac:dyDescent="0.3">
      <c r="A5" s="1493" t="s">
        <v>91</v>
      </c>
      <c r="B5" s="1494"/>
      <c r="C5" s="1494"/>
      <c r="D5" s="1494"/>
      <c r="E5" s="1494"/>
      <c r="F5" s="1494"/>
      <c r="G5" s="1494"/>
      <c r="H5" s="1494"/>
      <c r="I5" s="1494"/>
      <c r="J5" s="1494"/>
      <c r="K5" s="1494"/>
      <c r="L5" s="1494"/>
      <c r="M5" s="1494"/>
      <c r="N5" s="1494"/>
      <c r="O5" s="1494"/>
      <c r="P5" s="1494"/>
      <c r="Q5" s="1494"/>
      <c r="R5" s="1495"/>
    </row>
    <row r="6" spans="1:19" s="2" customFormat="1" ht="50.1" customHeight="1" thickBot="1" x14ac:dyDescent="0.3">
      <c r="A6" s="316" t="s">
        <v>14</v>
      </c>
      <c r="B6" s="317" t="s">
        <v>234</v>
      </c>
      <c r="C6" s="317" t="s">
        <v>236</v>
      </c>
      <c r="D6" s="317" t="s">
        <v>92</v>
      </c>
      <c r="E6" s="317" t="s">
        <v>233</v>
      </c>
      <c r="F6" s="317" t="s">
        <v>92</v>
      </c>
      <c r="G6" s="317" t="s">
        <v>235</v>
      </c>
      <c r="H6" s="317" t="s">
        <v>92</v>
      </c>
      <c r="I6" s="317" t="s">
        <v>231</v>
      </c>
      <c r="J6" s="317" t="s">
        <v>92</v>
      </c>
      <c r="K6" s="318" t="s">
        <v>93</v>
      </c>
      <c r="L6" s="317" t="s">
        <v>92</v>
      </c>
      <c r="M6" s="317" t="s">
        <v>575</v>
      </c>
      <c r="N6" s="317" t="s">
        <v>92</v>
      </c>
      <c r="O6" s="317" t="s">
        <v>237</v>
      </c>
      <c r="P6" s="317" t="s">
        <v>232</v>
      </c>
      <c r="Q6" s="1609" t="s">
        <v>260</v>
      </c>
      <c r="R6" s="1610"/>
    </row>
    <row r="7" spans="1:19" s="2" customFormat="1" ht="29.25" customHeight="1" thickBot="1" x14ac:dyDescent="0.3">
      <c r="A7" s="122" t="s">
        <v>1</v>
      </c>
      <c r="B7" s="123" t="e">
        <f>VLOOKUP(S7,DATOS!C31:K33,3,FALSE)</f>
        <v>#N/A</v>
      </c>
      <c r="C7" s="124" t="e">
        <f>VLOOKUP(S7,DATOS!C31:K33,4,FALSE)</f>
        <v>#N/A</v>
      </c>
      <c r="D7" s="125" t="s">
        <v>4</v>
      </c>
      <c r="E7" s="126" t="e">
        <f>VLOOKUP(S7,DATOS!C31:K33,5,FALSE)</f>
        <v>#N/A</v>
      </c>
      <c r="F7" s="125" t="s">
        <v>4</v>
      </c>
      <c r="G7" s="124" t="e">
        <f>VLOOKUP(S7,DATOS!C31:K33,6,FALSE)</f>
        <v>#N/A</v>
      </c>
      <c r="H7" s="125" t="s">
        <v>94</v>
      </c>
      <c r="I7" s="126" t="e">
        <f>VLOOKUP(S7,DATOS!C31:K33,7,FALSE)</f>
        <v>#N/A</v>
      </c>
      <c r="J7" s="125" t="s">
        <v>4</v>
      </c>
      <c r="K7" s="127" t="e">
        <f>(0+I7/2)/SQRT(12)</f>
        <v>#N/A</v>
      </c>
      <c r="L7" s="125" t="s">
        <v>4</v>
      </c>
      <c r="M7" s="128">
        <v>0</v>
      </c>
      <c r="N7" s="125" t="s">
        <v>4</v>
      </c>
      <c r="O7" s="126" t="e">
        <f>VLOOKUP(S7,DATOS!C31:K33,8,FALSE)</f>
        <v>#N/A</v>
      </c>
      <c r="P7" s="123" t="e">
        <f>VLOOKUP(S7,DATOS!C31:K33,9,FALSE)</f>
        <v>#N/A</v>
      </c>
      <c r="Q7" s="129"/>
      <c r="R7" s="319"/>
      <c r="S7" s="361"/>
    </row>
    <row r="8" spans="1:19" s="2" customFormat="1" ht="30" customHeight="1" x14ac:dyDescent="0.25">
      <c r="A8" s="1483" t="s">
        <v>95</v>
      </c>
      <c r="B8" s="140" t="e">
        <f>VLOOKUP(S8,DATOS!$C$37:$K$44,3,FALSE)</f>
        <v>#N/A</v>
      </c>
      <c r="C8" s="131" t="e">
        <f>VLOOKUP(S8,DATOS!$C$37:$K$44,4,FALSE)</f>
        <v>#N/A</v>
      </c>
      <c r="D8" s="132" t="s">
        <v>3</v>
      </c>
      <c r="E8" s="131" t="e">
        <f>VLOOKUP(S8,DATOS!$C$37:$K$44,5,FALSE)</f>
        <v>#N/A</v>
      </c>
      <c r="F8" s="133" t="s">
        <v>3</v>
      </c>
      <c r="G8" s="131" t="e">
        <f>VLOOKUP(S8,DATOS!$C$37:$K$44,6,FALSE)</f>
        <v>#N/A</v>
      </c>
      <c r="H8" s="133" t="s">
        <v>3</v>
      </c>
      <c r="I8" s="131" t="e">
        <f>VLOOKUP(S8,DATOS!$C$37:$K$44,7,FALSE)</f>
        <v>#N/A</v>
      </c>
      <c r="J8" s="133" t="s">
        <v>3</v>
      </c>
      <c r="K8" s="134" t="e">
        <f>(I8/2)/SQRT(12)</f>
        <v>#N/A</v>
      </c>
      <c r="L8" s="133" t="s">
        <v>3</v>
      </c>
      <c r="M8" s="135">
        <v>0</v>
      </c>
      <c r="N8" s="133" t="s">
        <v>3</v>
      </c>
      <c r="O8" s="136" t="e">
        <f>VLOOKUP(S8,DATOS!$C$37:$K$44,8,FALSE)</f>
        <v>#N/A</v>
      </c>
      <c r="P8" s="137" t="e">
        <f>VLOOKUP(S8,DATOS!$C$37:$K$44,9,FALSE)</f>
        <v>#N/A</v>
      </c>
      <c r="Q8" s="8"/>
      <c r="R8" s="320"/>
      <c r="S8" s="311"/>
    </row>
    <row r="9" spans="1:19" s="2" customFormat="1" ht="30" customHeight="1" x14ac:dyDescent="0.25">
      <c r="A9" s="1487"/>
      <c r="B9" s="140" t="e">
        <f>VLOOKUP(S9,DATOS!$C$37:$K$44,3,FALSE)</f>
        <v>#N/A</v>
      </c>
      <c r="C9" s="131" t="e">
        <f>VLOOKUP(S9,DATOS!$C$37:$K$44,4,FALSE)</f>
        <v>#N/A</v>
      </c>
      <c r="D9" s="132" t="s">
        <v>3</v>
      </c>
      <c r="E9" s="131" t="e">
        <f>VLOOKUP(S9,DATOS!$C$37:$K$44,5,FALSE)</f>
        <v>#N/A</v>
      </c>
      <c r="F9" s="133" t="s">
        <v>3</v>
      </c>
      <c r="G9" s="131" t="e">
        <f>VLOOKUP(S9,DATOS!$C$37:$K$44,6,FALSE)</f>
        <v>#N/A</v>
      </c>
      <c r="H9" s="133" t="s">
        <v>3</v>
      </c>
      <c r="I9" s="131" t="e">
        <f>VLOOKUP(S9,DATOS!$C$37:$K$44,7,FALSE)</f>
        <v>#N/A</v>
      </c>
      <c r="J9" s="133" t="s">
        <v>3</v>
      </c>
      <c r="K9" s="134" t="e">
        <f t="shared" ref="K9:K18" si="0">(I9/2)/SQRT(12)</f>
        <v>#N/A</v>
      </c>
      <c r="L9" s="133" t="s">
        <v>3</v>
      </c>
      <c r="M9" s="135">
        <v>0</v>
      </c>
      <c r="N9" s="133" t="s">
        <v>3</v>
      </c>
      <c r="O9" s="136" t="e">
        <f>VLOOKUP(S9,DATOS!$C$37:$K$44,8,FALSE)</f>
        <v>#N/A</v>
      </c>
      <c r="P9" s="137" t="e">
        <f>VLOOKUP(S9,DATOS!$C$37:$K$44,9,FALSE)</f>
        <v>#N/A</v>
      </c>
      <c r="Q9" s="138"/>
      <c r="R9" s="320"/>
      <c r="S9" s="312"/>
    </row>
    <row r="10" spans="1:19" s="2" customFormat="1" ht="30" customHeight="1" thickBot="1" x14ac:dyDescent="0.3">
      <c r="A10" s="1484"/>
      <c r="B10" s="140" t="e">
        <f>VLOOKUP(S10,DATOS!$C$37:$K$44,3,FALSE)</f>
        <v>#N/A</v>
      </c>
      <c r="C10" s="131" t="e">
        <f>VLOOKUP(S10,DATOS!$C$37:$K$44,4,FALSE)</f>
        <v>#N/A</v>
      </c>
      <c r="D10" s="132" t="s">
        <v>3</v>
      </c>
      <c r="E10" s="131" t="e">
        <f>VLOOKUP(S10,DATOS!$C$37:$K$44,5,FALSE)</f>
        <v>#N/A</v>
      </c>
      <c r="F10" s="133" t="s">
        <v>316</v>
      </c>
      <c r="G10" s="131" t="e">
        <f>VLOOKUP(S10,DATOS!$C$37:$K$44,6,FALSE)</f>
        <v>#N/A</v>
      </c>
      <c r="H10" s="133" t="s">
        <v>3</v>
      </c>
      <c r="I10" s="131" t="e">
        <f>VLOOKUP(S10,DATOS!$C$37:$K$44,7,FALSE)</f>
        <v>#N/A</v>
      </c>
      <c r="J10" s="133" t="s">
        <v>3</v>
      </c>
      <c r="K10" s="134" t="e">
        <f t="shared" si="0"/>
        <v>#N/A</v>
      </c>
      <c r="L10" s="133" t="s">
        <v>3</v>
      </c>
      <c r="M10" s="135">
        <v>0</v>
      </c>
      <c r="N10" s="133" t="s">
        <v>3</v>
      </c>
      <c r="O10" s="136" t="e">
        <f>VLOOKUP(S10,DATOS!$C$37:$K$44,8,FALSE)</f>
        <v>#N/A</v>
      </c>
      <c r="P10" s="137" t="e">
        <f>VLOOKUP(S10,DATOS!$C$37:$K$44,9,FALSE)</f>
        <v>#N/A</v>
      </c>
      <c r="Q10" s="138"/>
      <c r="R10" s="320"/>
      <c r="S10" s="313"/>
    </row>
    <row r="11" spans="1:19" s="6" customFormat="1" ht="30" customHeight="1" x14ac:dyDescent="0.25">
      <c r="A11" s="1483" t="s">
        <v>96</v>
      </c>
      <c r="B11" s="140" t="e">
        <f>VLOOKUP(S11,DATOS!$C$37:$K$44,3,FALSE)</f>
        <v>#N/A</v>
      </c>
      <c r="C11" s="131" t="e">
        <f>VLOOKUP(S11,DATOS!$C$37:$K$44,4,FALSE)</f>
        <v>#N/A</v>
      </c>
      <c r="D11" s="132" t="s">
        <v>3</v>
      </c>
      <c r="E11" s="131" t="e">
        <f>VLOOKUP(S11,DATOS!$C$37:$K$44,5,FALSE)</f>
        <v>#N/A</v>
      </c>
      <c r="F11" s="133" t="s">
        <v>3</v>
      </c>
      <c r="G11" s="131" t="e">
        <f>VLOOKUP(S11,DATOS!$C$37:$K$44,6,FALSE)</f>
        <v>#N/A</v>
      </c>
      <c r="H11" s="133" t="s">
        <v>3</v>
      </c>
      <c r="I11" s="131" t="e">
        <f>VLOOKUP(S11,DATOS!$C$37:$K$44,7,FALSE)</f>
        <v>#N/A</v>
      </c>
      <c r="J11" s="133" t="s">
        <v>3</v>
      </c>
      <c r="K11" s="134" t="e">
        <f>(I11/2)/SQRT(12)</f>
        <v>#N/A</v>
      </c>
      <c r="L11" s="133" t="s">
        <v>3</v>
      </c>
      <c r="M11" s="135">
        <v>0</v>
      </c>
      <c r="N11" s="133" t="s">
        <v>3</v>
      </c>
      <c r="O11" s="136" t="e">
        <f>VLOOKUP(S11,DATOS!$C$37:$K$44,8,FALSE)</f>
        <v>#N/A</v>
      </c>
      <c r="P11" s="137" t="e">
        <f>VLOOKUP(S11,DATOS!$C$37:$K$44,9,FALSE)</f>
        <v>#N/A</v>
      </c>
      <c r="Q11" s="138"/>
      <c r="R11" s="320"/>
      <c r="S11" s="311"/>
    </row>
    <row r="12" spans="1:19" s="6" customFormat="1" ht="30" customHeight="1" x14ac:dyDescent="0.25">
      <c r="A12" s="1487"/>
      <c r="B12" s="140" t="e">
        <f>VLOOKUP(S12,DATOS!$C$37:$K$44,3,FALSE)</f>
        <v>#N/A</v>
      </c>
      <c r="C12" s="131" t="e">
        <f>VLOOKUP(S12,DATOS!$C$37:$K$44,4,FALSE)</f>
        <v>#N/A</v>
      </c>
      <c r="D12" s="132" t="s">
        <v>3</v>
      </c>
      <c r="E12" s="131" t="e">
        <f>VLOOKUP(S12,DATOS!$C$37:$K$44,5,FALSE)</f>
        <v>#N/A</v>
      </c>
      <c r="F12" s="133" t="s">
        <v>3</v>
      </c>
      <c r="G12" s="131" t="e">
        <f>VLOOKUP(S12,DATOS!$C$37:$K$44,6,FALSE)</f>
        <v>#N/A</v>
      </c>
      <c r="H12" s="133" t="s">
        <v>3</v>
      </c>
      <c r="I12" s="131" t="e">
        <f>VLOOKUP(S12,DATOS!$C$37:$K$44,7,FALSE)</f>
        <v>#N/A</v>
      </c>
      <c r="J12" s="133" t="s">
        <v>3</v>
      </c>
      <c r="K12" s="134" t="e">
        <f t="shared" ref="K12:K13" si="1">(I12/2)/SQRT(12)</f>
        <v>#N/A</v>
      </c>
      <c r="L12" s="133" t="s">
        <v>3</v>
      </c>
      <c r="M12" s="135">
        <v>0</v>
      </c>
      <c r="N12" s="133" t="s">
        <v>3</v>
      </c>
      <c r="O12" s="136" t="e">
        <f>VLOOKUP(S12,DATOS!$C$37:$K$44,8,FALSE)</f>
        <v>#N/A</v>
      </c>
      <c r="P12" s="137" t="e">
        <f>VLOOKUP(S12,DATOS!$C$37:$K$44,9,FALSE)</f>
        <v>#N/A</v>
      </c>
      <c r="Q12" s="138"/>
      <c r="R12" s="320"/>
      <c r="S12" s="312"/>
    </row>
    <row r="13" spans="1:19" s="6" customFormat="1" ht="30" customHeight="1" thickBot="1" x14ac:dyDescent="0.3">
      <c r="A13" s="1484"/>
      <c r="B13" s="140" t="e">
        <f>VLOOKUP(S13,DATOS!$C$37:$K$44,3,FALSE)</f>
        <v>#N/A</v>
      </c>
      <c r="C13" s="131" t="e">
        <f>VLOOKUP(S13,DATOS!$C$37:$K$44,4,FALSE)</f>
        <v>#N/A</v>
      </c>
      <c r="D13" s="132" t="s">
        <v>3</v>
      </c>
      <c r="E13" s="131" t="e">
        <f>VLOOKUP(S13,DATOS!$C$37:$K$44,5,FALSE)</f>
        <v>#N/A</v>
      </c>
      <c r="F13" s="133" t="s">
        <v>3</v>
      </c>
      <c r="G13" s="131" t="e">
        <f>VLOOKUP(S13,DATOS!$C$37:$K$44,6,FALSE)</f>
        <v>#N/A</v>
      </c>
      <c r="H13" s="133" t="s">
        <v>3</v>
      </c>
      <c r="I13" s="131" t="e">
        <f>VLOOKUP(S13,DATOS!$C$37:$K$44,7,FALSE)</f>
        <v>#N/A</v>
      </c>
      <c r="J13" s="133" t="s">
        <v>3</v>
      </c>
      <c r="K13" s="134" t="e">
        <f t="shared" si="1"/>
        <v>#N/A</v>
      </c>
      <c r="L13" s="133" t="s">
        <v>3</v>
      </c>
      <c r="M13" s="135">
        <v>0</v>
      </c>
      <c r="N13" s="133" t="s">
        <v>3</v>
      </c>
      <c r="O13" s="136" t="e">
        <f>VLOOKUP(S13,DATOS!$C$37:$K$44,8,FALSE)</f>
        <v>#N/A</v>
      </c>
      <c r="P13" s="137" t="e">
        <f>VLOOKUP(S13,DATOS!$C$37:$K$44,9,FALSE)</f>
        <v>#N/A</v>
      </c>
      <c r="Q13" s="138"/>
      <c r="R13" s="320"/>
      <c r="S13" s="313"/>
    </row>
    <row r="14" spans="1:19" s="6" customFormat="1" ht="30" customHeight="1" thickBot="1" x14ac:dyDescent="0.3">
      <c r="A14" s="143" t="s">
        <v>242</v>
      </c>
      <c r="B14" s="136" t="e">
        <f>VLOOKUP(S14,DATOS!$C$107:$K$112,3,FALSE)</f>
        <v>#N/A</v>
      </c>
      <c r="C14" s="139" t="e">
        <f>VLOOKUP(S14,DATOS!$C$107:$K$112,4,FALSE)</f>
        <v>#N/A</v>
      </c>
      <c r="D14" s="132" t="s">
        <v>4</v>
      </c>
      <c r="E14" s="139" t="e">
        <f>VLOOKUP(S14,DATOS!$C$107:$K$112,5,FALSE)</f>
        <v>#N/A</v>
      </c>
      <c r="F14" s="132" t="s">
        <v>4</v>
      </c>
      <c r="G14" s="139" t="e">
        <f>VLOOKUP(S14,DATOS!$C$107:$K$112,6,FALSE)</f>
        <v>#N/A</v>
      </c>
      <c r="H14" s="132" t="s">
        <v>4</v>
      </c>
      <c r="I14" s="139" t="e">
        <f>VLOOKUP(S14,DATOS!$C$107:$K$112,7,FALSE)</f>
        <v>#N/A</v>
      </c>
      <c r="J14" s="322" t="s">
        <v>4</v>
      </c>
      <c r="K14" s="134" t="e">
        <f>(I14/2)/SQRT(12)</f>
        <v>#N/A</v>
      </c>
      <c r="L14" s="132" t="s">
        <v>4</v>
      </c>
      <c r="M14" s="135">
        <v>0</v>
      </c>
      <c r="N14" s="132" t="s">
        <v>4</v>
      </c>
      <c r="O14" s="136" t="e">
        <f>VLOOKUP(S14,DATOS!$C$107:$K$112,8,FALSE)</f>
        <v>#N/A</v>
      </c>
      <c r="P14" s="136" t="e">
        <f>VLOOKUP(S14,DATOS!$C$107:$K$112,9,FALSE)</f>
        <v>#N/A</v>
      </c>
      <c r="Q14" s="142"/>
      <c r="R14" s="321"/>
      <c r="S14" s="361"/>
    </row>
    <row r="15" spans="1:19" s="9" customFormat="1" ht="30" customHeight="1" x14ac:dyDescent="0.25">
      <c r="A15" s="143" t="s">
        <v>243</v>
      </c>
      <c r="B15" s="1503" t="e">
        <f>VLOOKUP(S15,DATOS!$C$116:$K$122,3,FALSE)</f>
        <v>#N/A</v>
      </c>
      <c r="C15" s="1503" t="e">
        <f>VLOOKUP(S15,DATOS!$C$116:$K$122,4,FALSE)</f>
        <v>#N/A</v>
      </c>
      <c r="D15" s="1554" t="s">
        <v>4</v>
      </c>
      <c r="E15" s="1503" t="e">
        <f>VLOOKUP(S15,DATOS!$C$116:$K$122,5,FALSE)</f>
        <v>#N/A</v>
      </c>
      <c r="F15" s="1554" t="s">
        <v>4</v>
      </c>
      <c r="G15" s="1485" t="e">
        <f>VLOOKUP(S15,DATOS!$C$116:$K$122,6,FALSE)</f>
        <v>#N/A</v>
      </c>
      <c r="H15" s="1554" t="s">
        <v>4</v>
      </c>
      <c r="I15" s="1503" t="e">
        <f>VLOOKUP(S15,DATOS!$C$116:$K$122,7,FALSE)</f>
        <v>#N/A</v>
      </c>
      <c r="J15" s="1554" t="s">
        <v>4</v>
      </c>
      <c r="K15" s="1502" t="e">
        <f t="shared" si="0"/>
        <v>#N/A</v>
      </c>
      <c r="L15" s="1552" t="s">
        <v>4</v>
      </c>
      <c r="M15" s="323">
        <v>0</v>
      </c>
      <c r="N15" s="1552" t="s">
        <v>4</v>
      </c>
      <c r="O15" s="1503" t="e">
        <f>VLOOKUP(S15,DATOS!$C$116:$K$122,8,FALSE)</f>
        <v>#N/A</v>
      </c>
      <c r="P15" s="1507" t="e">
        <f>VLOOKUP(S15,DATOS!$C$116:$K$122,9,FALSE)</f>
        <v>#N/A</v>
      </c>
      <c r="Q15" s="354"/>
      <c r="R15" s="355"/>
      <c r="S15" s="1550"/>
    </row>
    <row r="16" spans="1:19" s="2" customFormat="1" ht="30" customHeight="1" thickBot="1" x14ac:dyDescent="0.3">
      <c r="A16" s="324"/>
      <c r="B16" s="1504"/>
      <c r="C16" s="1504"/>
      <c r="D16" s="1555"/>
      <c r="E16" s="1504"/>
      <c r="F16" s="1555"/>
      <c r="G16" s="1486"/>
      <c r="H16" s="1555"/>
      <c r="I16" s="1504"/>
      <c r="J16" s="1555"/>
      <c r="K16" s="1502"/>
      <c r="L16" s="1553"/>
      <c r="M16" s="325"/>
      <c r="N16" s="1553"/>
      <c r="O16" s="1504"/>
      <c r="P16" s="1508"/>
      <c r="Q16" s="356"/>
      <c r="R16" s="355"/>
      <c r="S16" s="1551"/>
    </row>
    <row r="17" spans="1:19" s="10" customFormat="1" ht="27.75" customHeight="1" thickBot="1" x14ac:dyDescent="0.3">
      <c r="A17" s="144" t="s">
        <v>97</v>
      </c>
      <c r="B17" s="136" t="e">
        <f>VLOOKUP(S17,DATOS!$C$126:$K$127,3,FALSE)</f>
        <v>#N/A</v>
      </c>
      <c r="C17" s="136" t="e">
        <f>VLOOKUP(S17,DATOS!$C$126:$K$127,4,FALSE)</f>
        <v>#N/A</v>
      </c>
      <c r="D17" s="132" t="s">
        <v>240</v>
      </c>
      <c r="E17" s="136" t="e">
        <f>VLOOKUP(S17,DATOS!$C$126:$K$127,5,FALSE)</f>
        <v>#N/A</v>
      </c>
      <c r="F17" s="132" t="s">
        <v>240</v>
      </c>
      <c r="G17" s="136" t="e">
        <f>VLOOKUP(S17,DATOS!$C$126:$K$127,6,FALSE)</f>
        <v>#N/A</v>
      </c>
      <c r="H17" s="132" t="s">
        <v>240</v>
      </c>
      <c r="I17" s="136" t="e">
        <f>VLOOKUP(S17,DATOS!$C$126:$K$127,7,FALSE)</f>
        <v>#N/A</v>
      </c>
      <c r="J17" s="322" t="s">
        <v>240</v>
      </c>
      <c r="K17" s="147" t="e">
        <f t="shared" si="0"/>
        <v>#N/A</v>
      </c>
      <c r="L17" s="132" t="s">
        <v>240</v>
      </c>
      <c r="M17" s="135">
        <v>0</v>
      </c>
      <c r="N17" s="135" t="s">
        <v>240</v>
      </c>
      <c r="O17" s="136" t="e">
        <f>VLOOKUP(S17,DATOS!$C$126:$K$127,8,FALSE)</f>
        <v>#N/A</v>
      </c>
      <c r="P17" s="137" t="e">
        <f>VLOOKUP(S17,DATOS!$C$126:$K$127,9,FALSE)</f>
        <v>#N/A</v>
      </c>
      <c r="Q17" s="148"/>
      <c r="R17" s="326"/>
      <c r="S17" s="362"/>
    </row>
    <row r="18" spans="1:19" s="2" customFormat="1" ht="30" customHeight="1" thickBot="1" x14ac:dyDescent="0.3">
      <c r="A18" s="119" t="s">
        <v>98</v>
      </c>
      <c r="B18" s="150" t="e">
        <f>VLOOKUP(S18,DATOS!$C$132:$K$147,3,FALSE)</f>
        <v>#N/A</v>
      </c>
      <c r="C18" s="150" t="e">
        <f>VLOOKUP(S18,DATOS!$C$132:$K$147,4,FALSE)</f>
        <v>#N/A</v>
      </c>
      <c r="D18" s="151" t="s">
        <v>217</v>
      </c>
      <c r="E18" s="150" t="e">
        <f>VLOOKUP(S18,DATOS!$C$132:$K$147,5,FALSE)</f>
        <v>#N/A</v>
      </c>
      <c r="F18" s="151" t="s">
        <v>217</v>
      </c>
      <c r="G18" s="150" t="e">
        <f>VLOOKUP(S18,DATOS!$C$132:$K$147,6,FALSE)</f>
        <v>#N/A</v>
      </c>
      <c r="H18" s="151" t="s">
        <v>217</v>
      </c>
      <c r="I18" s="150" t="e">
        <f>VLOOKUP(S18,DATOS!$C$132:$K$147,7,FALSE)</f>
        <v>#N/A</v>
      </c>
      <c r="J18" s="151" t="s">
        <v>217</v>
      </c>
      <c r="K18" s="152" t="e">
        <f t="shared" si="0"/>
        <v>#N/A</v>
      </c>
      <c r="L18" s="151" t="s">
        <v>217</v>
      </c>
      <c r="M18" s="153">
        <v>0</v>
      </c>
      <c r="N18" s="151" t="s">
        <v>217</v>
      </c>
      <c r="O18" s="150" t="e">
        <f>VLOOKUP(S18,DATOS!$C$132:$K$147,8,FALSE)</f>
        <v>#N/A</v>
      </c>
      <c r="P18" s="154" t="e">
        <f>VLOOKUP(S18,DATOS!$C$132:$K$147,9,FALSE)</f>
        <v>#N/A</v>
      </c>
      <c r="Q18" s="155"/>
      <c r="R18" s="327"/>
      <c r="S18" s="363"/>
    </row>
    <row r="19" spans="1:19" s="2" customFormat="1" ht="30" customHeight="1" thickBot="1" x14ac:dyDescent="0.3"/>
    <row r="20" spans="1:19" s="2" customFormat="1" ht="30" customHeight="1" thickBot="1" x14ac:dyDescent="0.3">
      <c r="A20" s="7"/>
      <c r="B20" s="1442" t="s">
        <v>99</v>
      </c>
      <c r="C20" s="1443"/>
      <c r="D20" s="1443"/>
      <c r="E20" s="1443"/>
      <c r="F20" s="1443"/>
      <c r="G20" s="1444"/>
      <c r="H20" s="10"/>
      <c r="I20" s="1442" t="s">
        <v>100</v>
      </c>
      <c r="J20" s="1443"/>
      <c r="K20" s="1443"/>
      <c r="L20" s="1443"/>
      <c r="M20" s="1443"/>
      <c r="N20" s="1443"/>
      <c r="O20" s="1443"/>
      <c r="P20" s="1443"/>
      <c r="Q20" s="1443"/>
      <c r="R20" s="1444"/>
    </row>
    <row r="21" spans="1:19" s="2" customFormat="1" ht="30" customHeight="1" thickBot="1" x14ac:dyDescent="0.3">
      <c r="A21" s="7"/>
      <c r="B21" s="328" t="s">
        <v>101</v>
      </c>
      <c r="C21" s="329"/>
      <c r="D21" s="330" t="s">
        <v>1</v>
      </c>
      <c r="E21" s="329"/>
      <c r="F21" s="330" t="s">
        <v>0</v>
      </c>
      <c r="G21" s="331"/>
      <c r="H21" s="10"/>
      <c r="I21" s="1568" t="s">
        <v>92</v>
      </c>
      <c r="J21" s="1569" t="s">
        <v>61</v>
      </c>
      <c r="K21" s="1569" t="s">
        <v>62</v>
      </c>
      <c r="L21" s="1569" t="s">
        <v>221</v>
      </c>
      <c r="M21" s="1569" t="s">
        <v>102</v>
      </c>
      <c r="N21" s="10"/>
      <c r="O21" s="1570" t="s">
        <v>103</v>
      </c>
      <c r="P21" s="1570" t="s">
        <v>104</v>
      </c>
      <c r="Q21" s="1570" t="s">
        <v>105</v>
      </c>
      <c r="R21" s="1546" t="s">
        <v>567</v>
      </c>
    </row>
    <row r="22" spans="1:19" s="2" customFormat="1" ht="30" customHeight="1" thickBot="1" x14ac:dyDescent="0.3">
      <c r="A22" s="314"/>
      <c r="B22" s="332" t="s">
        <v>54</v>
      </c>
      <c r="C22" s="333"/>
      <c r="D22" s="135" t="e">
        <f>VLOOKUP($A$22,DATOS!$B$24:$M$26,2,FALSE)</f>
        <v>#N/A</v>
      </c>
      <c r="E22" s="135"/>
      <c r="F22" s="135" t="e">
        <f>VLOOKUP($H$22,DATOS!$B$14:$N$16,2,FALSE)</f>
        <v>#N/A</v>
      </c>
      <c r="G22" s="160"/>
      <c r="H22" s="314"/>
      <c r="I22" s="1536"/>
      <c r="J22" s="1538"/>
      <c r="K22" s="1538"/>
      <c r="L22" s="1538"/>
      <c r="M22" s="1538"/>
      <c r="N22" s="10"/>
      <c r="O22" s="1571"/>
      <c r="P22" s="1571"/>
      <c r="Q22" s="1571"/>
      <c r="R22" s="1547"/>
    </row>
    <row r="23" spans="1:19" s="2" customFormat="1" ht="30" customHeight="1" x14ac:dyDescent="0.25">
      <c r="A23" s="7"/>
      <c r="B23" s="332" t="s">
        <v>55</v>
      </c>
      <c r="C23" s="333"/>
      <c r="D23" s="135" t="e">
        <f>VLOOKUP($A$22,DATOS!$B$24:$M$26,3,FALSE)</f>
        <v>#N/A</v>
      </c>
      <c r="E23" s="135"/>
      <c r="F23" s="537" t="e">
        <f>VLOOKUP($H$22,DATOS!$B$14:$N$16,3,FALSE)</f>
        <v>#N/A</v>
      </c>
      <c r="G23" s="160"/>
      <c r="H23" s="10"/>
      <c r="I23" s="104" t="s">
        <v>108</v>
      </c>
      <c r="J23" s="72">
        <v>3.7854109999999999</v>
      </c>
      <c r="K23" s="72">
        <v>3785.4110000000001</v>
      </c>
      <c r="L23" s="72">
        <v>231.00000854332629</v>
      </c>
      <c r="M23" s="42">
        <v>5</v>
      </c>
      <c r="N23" s="11"/>
      <c r="O23" s="1192" t="e">
        <f>O26/K23</f>
        <v>#N/A</v>
      </c>
      <c r="P23" s="325" t="e">
        <f>P26/K23</f>
        <v>#N/A</v>
      </c>
      <c r="Q23" s="1193" t="e">
        <f>P23-O23</f>
        <v>#N/A</v>
      </c>
      <c r="R23" s="1194" t="e">
        <f>ABS(Q23)</f>
        <v>#N/A</v>
      </c>
    </row>
    <row r="24" spans="1:19" s="2" customFormat="1" ht="30" customHeight="1" x14ac:dyDescent="0.25">
      <c r="A24" s="7"/>
      <c r="B24" s="332" t="s">
        <v>29</v>
      </c>
      <c r="C24" s="333"/>
      <c r="D24" s="135" t="e">
        <f>VLOOKUP($A$22,DATOS!$B$24:$M$26,4,FALSE)</f>
        <v>#N/A</v>
      </c>
      <c r="E24" s="135"/>
      <c r="F24" s="537" t="e">
        <f>VLOOKUP($H$22,DATOS!$B$14:$N$16,4,FALSE)</f>
        <v>#N/A</v>
      </c>
      <c r="G24" s="160"/>
      <c r="H24" s="10"/>
      <c r="I24" s="104" t="s">
        <v>222</v>
      </c>
      <c r="J24" s="72">
        <v>1.6387059999999998E-2</v>
      </c>
      <c r="K24" s="72">
        <v>16.387059999999998</v>
      </c>
      <c r="L24" s="72">
        <v>1</v>
      </c>
      <c r="M24" s="22">
        <v>1155.0000427166315</v>
      </c>
      <c r="N24" s="10"/>
      <c r="O24" s="76" t="e">
        <f>O26/K24</f>
        <v>#N/A</v>
      </c>
      <c r="P24" s="135" t="e">
        <f>(P26*L24)/K24</f>
        <v>#N/A</v>
      </c>
      <c r="Q24" s="161" t="e">
        <f>P24-O24</f>
        <v>#N/A</v>
      </c>
      <c r="R24" s="1077" t="e">
        <f t="shared" ref="R24:R25" si="2">ABS(Q24)</f>
        <v>#N/A</v>
      </c>
    </row>
    <row r="25" spans="1:19" s="2" customFormat="1" ht="30" customHeight="1" x14ac:dyDescent="0.25">
      <c r="A25" s="7"/>
      <c r="B25" s="332" t="s">
        <v>111</v>
      </c>
      <c r="C25" s="333"/>
      <c r="D25" s="135" t="e">
        <f>VLOOKUP($A$22,DATOS!$B$24:$M$26,5,FALSE)</f>
        <v>#N/A</v>
      </c>
      <c r="E25" s="135" t="s">
        <v>3</v>
      </c>
      <c r="F25" s="537" t="e">
        <f>VLOOKUP($H$22,DATOS!$B$14:$N$16,5,FALSE)</f>
        <v>#N/A</v>
      </c>
      <c r="G25" s="160" t="s">
        <v>3</v>
      </c>
      <c r="H25" s="10"/>
      <c r="I25" s="104" t="s">
        <v>25</v>
      </c>
      <c r="J25" s="72">
        <v>1</v>
      </c>
      <c r="K25" s="72">
        <v>1000</v>
      </c>
      <c r="L25" s="72">
        <v>1.6387059999999998E-2</v>
      </c>
      <c r="M25" s="75">
        <v>18.927054999999999</v>
      </c>
      <c r="N25" s="10"/>
      <c r="O25" s="89" t="e">
        <f>O26/K25</f>
        <v>#N/A</v>
      </c>
      <c r="P25" s="135" t="e">
        <f>(P26*J25)/K25</f>
        <v>#N/A</v>
      </c>
      <c r="Q25" s="161" t="e">
        <f>P25-O25</f>
        <v>#N/A</v>
      </c>
      <c r="R25" s="1077" t="e">
        <f t="shared" si="2"/>
        <v>#N/A</v>
      </c>
    </row>
    <row r="26" spans="1:19" s="2" customFormat="1" ht="30" customHeight="1" x14ac:dyDescent="0.25">
      <c r="A26" s="7"/>
      <c r="B26" s="332" t="s">
        <v>60</v>
      </c>
      <c r="C26" s="333"/>
      <c r="D26" s="135" t="e">
        <f>VLOOKUP($A$22,DATOS!$B$24:$M$26,6,FALSE)</f>
        <v>#N/A</v>
      </c>
      <c r="E26" s="135" t="s">
        <v>9</v>
      </c>
      <c r="F26" s="537" t="e">
        <f>VLOOKUP($H$22,DATOS!$B$14:$N$16,6,FALSE)</f>
        <v>#N/A</v>
      </c>
      <c r="G26" s="160" t="s">
        <v>9</v>
      </c>
      <c r="H26" s="10"/>
      <c r="I26" s="104" t="s">
        <v>26</v>
      </c>
      <c r="J26" s="72">
        <v>1E-3</v>
      </c>
      <c r="K26" s="72">
        <v>1</v>
      </c>
      <c r="L26" s="72">
        <v>16.387059999999998</v>
      </c>
      <c r="M26" s="22">
        <v>18927.055</v>
      </c>
      <c r="N26" s="10"/>
      <c r="O26" s="76" t="e">
        <f>C7</f>
        <v>#N/A</v>
      </c>
      <c r="P26" s="166" t="e">
        <f>H54</f>
        <v>#N/A</v>
      </c>
      <c r="Q26" s="161" t="e">
        <f>P26-O26</f>
        <v>#N/A</v>
      </c>
      <c r="R26" s="1077" t="e">
        <f>ABS(Q26)</f>
        <v>#N/A</v>
      </c>
    </row>
    <row r="27" spans="1:19" s="2" customFormat="1" ht="30" customHeight="1" thickBot="1" x14ac:dyDescent="0.3">
      <c r="A27" s="7"/>
      <c r="B27" s="332" t="s">
        <v>113</v>
      </c>
      <c r="C27" s="333"/>
      <c r="D27" s="135" t="e">
        <f>VLOOKUP($A$22,DATOS!$B$24:$M$26,7,FALSE)</f>
        <v>#N/A</v>
      </c>
      <c r="E27" s="135" t="s">
        <v>4</v>
      </c>
      <c r="F27" s="537" t="e">
        <f>VLOOKUP($H$22,DATOS!$B$14:$N$16,7,FALSE)</f>
        <v>#N/A</v>
      </c>
      <c r="G27" s="160" t="s">
        <v>4</v>
      </c>
      <c r="H27" s="10"/>
      <c r="I27" s="106" t="s">
        <v>223</v>
      </c>
      <c r="J27" s="13">
        <v>1E-3</v>
      </c>
      <c r="K27" s="13">
        <v>1</v>
      </c>
      <c r="L27" s="13">
        <v>16.387059999999998</v>
      </c>
      <c r="M27" s="46">
        <v>18927.055</v>
      </c>
      <c r="N27" s="10"/>
      <c r="O27" s="90" t="e">
        <f>O26</f>
        <v>#N/A</v>
      </c>
      <c r="P27" s="153" t="e">
        <f>P26</f>
        <v>#N/A</v>
      </c>
      <c r="Q27" s="169" t="e">
        <f>P27-O27</f>
        <v>#N/A</v>
      </c>
      <c r="R27" s="1078" t="e">
        <f>ABS(Q27)</f>
        <v>#N/A</v>
      </c>
    </row>
    <row r="28" spans="1:19" s="2" customFormat="1" ht="30" customHeight="1" thickBot="1" x14ac:dyDescent="0.3">
      <c r="A28" s="7"/>
      <c r="B28" s="332" t="s">
        <v>51</v>
      </c>
      <c r="C28" s="333"/>
      <c r="D28" s="135" t="e">
        <f>VLOOKUP($A$22,DATOS!$B$24:$M$26,8,FALSE)</f>
        <v>#N/A</v>
      </c>
      <c r="E28" s="135" t="s">
        <v>4</v>
      </c>
      <c r="F28" s="537" t="e">
        <f>VLOOKUP($H$22,DATOS!$B$14:$N$16,8,FALSE)</f>
        <v>#N/A</v>
      </c>
      <c r="G28" s="160" t="s">
        <v>4</v>
      </c>
      <c r="H28" s="10"/>
      <c r="R28" s="7"/>
    </row>
    <row r="29" spans="1:19" s="2" customFormat="1" ht="30" customHeight="1" thickBot="1" x14ac:dyDescent="0.3">
      <c r="A29" s="7"/>
      <c r="B29" s="332" t="s">
        <v>116</v>
      </c>
      <c r="C29" s="333"/>
      <c r="D29" s="135" t="e">
        <f>VLOOKUP($A$22,DATOS!$B$24:$M$26,9,FALSE)</f>
        <v>#N/A</v>
      </c>
      <c r="E29" s="135" t="s">
        <v>226</v>
      </c>
      <c r="F29" s="537" t="e">
        <f>VLOOKUP($H$22,DATOS!$B$14:$N$16,9,FALSE)</f>
        <v>#N/A</v>
      </c>
      <c r="G29" s="160" t="s">
        <v>226</v>
      </c>
      <c r="H29" s="7"/>
      <c r="I29" s="1564" t="s">
        <v>109</v>
      </c>
      <c r="J29" s="1565"/>
      <c r="K29" s="1566"/>
      <c r="L29" s="1567"/>
      <c r="N29" s="1572" t="s">
        <v>110</v>
      </c>
      <c r="O29" s="1573"/>
      <c r="P29" s="1548"/>
      <c r="Q29" s="1549"/>
    </row>
    <row r="30" spans="1:19" s="2" customFormat="1" ht="30" customHeight="1" thickBot="1" x14ac:dyDescent="0.3">
      <c r="A30" s="7"/>
      <c r="B30" s="332" t="s">
        <v>117</v>
      </c>
      <c r="C30" s="333"/>
      <c r="D30" s="135" t="e">
        <f>VLOOKUP($A$22,DATOS!$B$24:$M$26,10,FALSE)</f>
        <v>#N/A</v>
      </c>
      <c r="E30" s="135" t="s">
        <v>13</v>
      </c>
      <c r="F30" s="537" t="e">
        <f>VLOOKUP($H$22,DATOS!$B$14:$N$16,10,FALSE)</f>
        <v>#N/A</v>
      </c>
      <c r="G30" s="160" t="s">
        <v>13</v>
      </c>
      <c r="H30" s="10"/>
    </row>
    <row r="31" spans="1:19" s="2" customFormat="1" ht="30" customHeight="1" thickBot="1" x14ac:dyDescent="0.3">
      <c r="A31" s="7"/>
      <c r="B31" s="332" t="s">
        <v>118</v>
      </c>
      <c r="C31" s="333"/>
      <c r="D31" s="135" t="e">
        <f>VLOOKUP($A$22,DATOS!$B$24:$M$26,11,FALSE)</f>
        <v>#N/A</v>
      </c>
      <c r="E31" s="135" t="s">
        <v>13</v>
      </c>
      <c r="F31" s="537" t="e">
        <f>VLOOKUP($H$22,DATOS!$B$14:$N$16,11,FALSE)</f>
        <v>#N/A</v>
      </c>
      <c r="G31" s="160" t="s">
        <v>13</v>
      </c>
      <c r="H31" s="10"/>
      <c r="I31" s="1468" t="s">
        <v>541</v>
      </c>
      <c r="J31" s="1469"/>
      <c r="K31" s="1469"/>
      <c r="L31" s="1469"/>
      <c r="M31" s="1469"/>
      <c r="N31" s="1469"/>
      <c r="O31" s="1469"/>
      <c r="P31" s="1469"/>
      <c r="Q31" s="963" t="s">
        <v>504</v>
      </c>
    </row>
    <row r="32" spans="1:19" s="2" customFormat="1" ht="30" customHeight="1" thickBot="1" x14ac:dyDescent="0.3">
      <c r="A32" s="7"/>
      <c r="B32" s="332" t="s">
        <v>238</v>
      </c>
      <c r="C32" s="333"/>
      <c r="D32" s="135" t="e">
        <f>VLOOKUP($A$22,DATOS!$B$24:$M$26,12,FALSE)</f>
        <v>#N/A</v>
      </c>
      <c r="E32" s="135" t="s">
        <v>226</v>
      </c>
      <c r="F32" s="135" t="e">
        <f>D32</f>
        <v>#N/A</v>
      </c>
      <c r="G32" s="160" t="s">
        <v>226</v>
      </c>
      <c r="H32" s="10"/>
      <c r="I32" s="1527" t="s">
        <v>112</v>
      </c>
      <c r="J32" s="1528"/>
      <c r="K32" s="1529"/>
      <c r="L32" s="1530" t="s">
        <v>22</v>
      </c>
      <c r="M32" s="1531"/>
      <c r="N32" s="1532"/>
      <c r="O32" s="925" t="s">
        <v>23</v>
      </c>
      <c r="P32" s="905" t="s">
        <v>15</v>
      </c>
      <c r="Q32" s="964"/>
    </row>
    <row r="33" spans="1:19" s="2" customFormat="1" ht="30" customHeight="1" thickBot="1" x14ac:dyDescent="0.3">
      <c r="A33" s="7"/>
      <c r="B33" s="334" t="s">
        <v>114</v>
      </c>
      <c r="C33" s="335"/>
      <c r="D33" s="135">
        <f>K54</f>
        <v>-6.2863206736149993E-5</v>
      </c>
      <c r="E33" s="153" t="s">
        <v>226</v>
      </c>
      <c r="F33" s="135">
        <f>D33</f>
        <v>-6.2863206736149993E-5</v>
      </c>
      <c r="G33" s="170" t="s">
        <v>226</v>
      </c>
      <c r="H33" s="10"/>
      <c r="I33" s="1461" t="s">
        <v>542</v>
      </c>
      <c r="J33" s="1462"/>
      <c r="K33" s="297"/>
      <c r="L33" s="1461" t="s">
        <v>542</v>
      </c>
      <c r="M33" s="1462"/>
      <c r="N33" s="299"/>
      <c r="O33" s="171" t="e">
        <f>AVERAGE(K33,N33)</f>
        <v>#DIV/0!</v>
      </c>
      <c r="P33" s="965" t="e">
        <f>O33+(0.0074*O33-0.2067)</f>
        <v>#DIV/0!</v>
      </c>
    </row>
    <row r="34" spans="1:19" s="2" customFormat="1" ht="39" customHeight="1" thickBot="1" x14ac:dyDescent="0.3">
      <c r="A34" s="7"/>
      <c r="B34" s="10"/>
      <c r="C34" s="10"/>
      <c r="D34" s="10"/>
      <c r="E34" s="10"/>
      <c r="F34" s="10"/>
      <c r="G34" s="10"/>
      <c r="H34" s="10"/>
      <c r="I34" s="1461" t="s">
        <v>543</v>
      </c>
      <c r="J34" s="1462"/>
      <c r="K34" s="297"/>
      <c r="L34" s="1461" t="s">
        <v>543</v>
      </c>
      <c r="M34" s="1462"/>
      <c r="N34" s="299"/>
      <c r="O34" s="171" t="e">
        <f>AVERAGE(K34,N34)</f>
        <v>#DIV/0!</v>
      </c>
      <c r="P34" s="965" t="e">
        <f>O34+(0.1346*O34-7.6712)</f>
        <v>#DIV/0!</v>
      </c>
    </row>
    <row r="35" spans="1:19" s="2" customFormat="1" ht="30" customHeight="1" thickBot="1" x14ac:dyDescent="0.3">
      <c r="A35" s="7"/>
      <c r="B35" s="1577" t="s">
        <v>264</v>
      </c>
      <c r="C35" s="1578"/>
      <c r="D35" s="1533" t="e">
        <f>VLOOKUP(H35,DATOS!O5:Q9,2,FALSE)</f>
        <v>#N/A</v>
      </c>
      <c r="E35" s="1534"/>
      <c r="F35" s="1534"/>
      <c r="G35" s="1535"/>
      <c r="H35" s="314"/>
      <c r="I35" s="1466" t="s">
        <v>544</v>
      </c>
      <c r="J35" s="1467"/>
      <c r="K35" s="298"/>
      <c r="L35" s="1466" t="s">
        <v>544</v>
      </c>
      <c r="M35" s="1467"/>
      <c r="N35" s="298"/>
      <c r="O35" s="172" t="e">
        <f>AVERAGE(K35,N35)</f>
        <v>#DIV/0!</v>
      </c>
      <c r="P35" s="965" t="e">
        <f>O35+(0.0023*O35-2.2532)</f>
        <v>#DIV/0!</v>
      </c>
    </row>
    <row r="36" spans="1:19" s="2" customFormat="1" ht="30" customHeight="1" thickBot="1" x14ac:dyDescent="0.3">
      <c r="A36" s="7"/>
      <c r="H36" s="10"/>
      <c r="I36" s="10"/>
    </row>
    <row r="37" spans="1:19" s="7" customFormat="1" ht="30" customHeight="1" thickBot="1" x14ac:dyDescent="0.3">
      <c r="C37" s="1442" t="s">
        <v>119</v>
      </c>
      <c r="D37" s="1443"/>
      <c r="E37" s="1443"/>
      <c r="F37" s="1443"/>
      <c r="G37" s="1443"/>
      <c r="H37" s="1443"/>
      <c r="I37" s="1443"/>
      <c r="J37" s="1443"/>
      <c r="K37" s="1443"/>
      <c r="L37" s="1443"/>
      <c r="M37" s="1443"/>
      <c r="N37" s="1444"/>
      <c r="P37" s="1475" t="s">
        <v>363</v>
      </c>
      <c r="Q37" s="1476"/>
      <c r="R37" s="1476"/>
      <c r="S37" s="1477"/>
    </row>
    <row r="38" spans="1:19" s="10" customFormat="1" ht="27.75" customHeight="1" x14ac:dyDescent="0.25">
      <c r="B38" s="8"/>
      <c r="C38" s="1579" t="s">
        <v>120</v>
      </c>
      <c r="D38" s="1580"/>
      <c r="E38" s="1580"/>
      <c r="F38" s="1580"/>
      <c r="G38" s="1581"/>
      <c r="I38" s="1579" t="s">
        <v>121</v>
      </c>
      <c r="J38" s="1580"/>
      <c r="K38" s="1580"/>
      <c r="L38" s="1580"/>
      <c r="M38" s="1580"/>
      <c r="N38" s="1581"/>
      <c r="P38" s="1588"/>
      <c r="Q38" s="1589"/>
      <c r="R38" s="1589"/>
      <c r="S38" s="1590"/>
    </row>
    <row r="39" spans="1:19" s="2" customFormat="1" ht="30" customHeight="1" x14ac:dyDescent="0.25">
      <c r="B39" s="104" t="s">
        <v>122</v>
      </c>
      <c r="C39" s="606" t="s">
        <v>123</v>
      </c>
      <c r="D39" s="895" t="s">
        <v>481</v>
      </c>
      <c r="E39" s="1036" t="s">
        <v>124</v>
      </c>
      <c r="F39" s="105" t="s">
        <v>125</v>
      </c>
      <c r="G39" s="71" t="s">
        <v>126</v>
      </c>
      <c r="H39" s="10"/>
      <c r="I39" s="894" t="s">
        <v>123</v>
      </c>
      <c r="J39" s="895" t="s">
        <v>481</v>
      </c>
      <c r="K39" s="105" t="s">
        <v>124</v>
      </c>
      <c r="L39" s="105" t="s">
        <v>125</v>
      </c>
      <c r="M39" s="105" t="s">
        <v>126</v>
      </c>
      <c r="N39" s="71" t="s">
        <v>127</v>
      </c>
      <c r="O39" s="10"/>
      <c r="P39" s="1591"/>
      <c r="Q39" s="1592"/>
      <c r="R39" s="1592"/>
      <c r="S39" s="1593"/>
    </row>
    <row r="40" spans="1:19" s="2" customFormat="1" ht="30" customHeight="1" x14ac:dyDescent="0.25">
      <c r="A40" s="7"/>
      <c r="B40" s="16">
        <v>1</v>
      </c>
      <c r="C40" s="300"/>
      <c r="D40" s="1185">
        <f>C40+(-0.0013*C40+0.0055)</f>
        <v>5.4999999999999997E-3</v>
      </c>
      <c r="E40" s="357"/>
      <c r="F40" s="358"/>
      <c r="G40" s="996">
        <f>E40+F40</f>
        <v>0</v>
      </c>
      <c r="H40" s="15"/>
      <c r="I40" s="301"/>
      <c r="J40" s="1185">
        <f>I40+(-0.0015*I40- 0.029)</f>
        <v>-2.9000000000000001E-2</v>
      </c>
      <c r="K40" s="301"/>
      <c r="L40" s="302"/>
      <c r="M40" s="997">
        <f>K40+L40</f>
        <v>0</v>
      </c>
      <c r="N40" s="303"/>
      <c r="O40" s="10"/>
      <c r="P40" s="1591"/>
      <c r="Q40" s="1592"/>
      <c r="R40" s="1592"/>
      <c r="S40" s="1593"/>
    </row>
    <row r="41" spans="1:19" s="2" customFormat="1" ht="30" customHeight="1" thickBot="1" x14ac:dyDescent="0.3">
      <c r="A41" s="7"/>
      <c r="B41" s="16">
        <v>2</v>
      </c>
      <c r="C41" s="300"/>
      <c r="D41" s="1185">
        <f t="shared" ref="D41:D42" si="3">C41+(-0.0013*C41+0.0055)</f>
        <v>5.4999999999999997E-3</v>
      </c>
      <c r="E41" s="357"/>
      <c r="F41" s="358"/>
      <c r="G41" s="996">
        <f t="shared" ref="G41:G42" si="4">E41+F41</f>
        <v>0</v>
      </c>
      <c r="H41" s="15"/>
      <c r="I41" s="300"/>
      <c r="J41" s="1185">
        <f t="shared" ref="J41:J42" si="5">I41+(-0.0015*I41- 0.029)</f>
        <v>-2.9000000000000001E-2</v>
      </c>
      <c r="K41" s="301"/>
      <c r="L41" s="302"/>
      <c r="M41" s="997">
        <f t="shared" ref="M41:M42" si="6">K41+L41</f>
        <v>0</v>
      </c>
      <c r="N41" s="303"/>
      <c r="O41" s="10"/>
      <c r="P41" s="1591"/>
      <c r="Q41" s="1592"/>
      <c r="R41" s="1592"/>
      <c r="S41" s="1593"/>
    </row>
    <row r="42" spans="1:19" s="17" customFormat="1" ht="30" customHeight="1" thickBot="1" x14ac:dyDescent="0.3">
      <c r="A42" s="18" t="s">
        <v>128</v>
      </c>
      <c r="B42" s="16">
        <v>3</v>
      </c>
      <c r="C42" s="300"/>
      <c r="D42" s="1185">
        <f t="shared" si="3"/>
        <v>5.4999999999999997E-3</v>
      </c>
      <c r="E42" s="357"/>
      <c r="F42" s="358"/>
      <c r="G42" s="996">
        <f t="shared" si="4"/>
        <v>0</v>
      </c>
      <c r="H42" s="15"/>
      <c r="I42" s="300"/>
      <c r="J42" s="1185">
        <f t="shared" si="5"/>
        <v>-2.9000000000000001E-2</v>
      </c>
      <c r="K42" s="301"/>
      <c r="L42" s="302"/>
      <c r="M42" s="997">
        <f t="shared" si="6"/>
        <v>0</v>
      </c>
      <c r="N42" s="359"/>
      <c r="O42" s="15"/>
      <c r="P42" s="1591"/>
      <c r="Q42" s="1592"/>
      <c r="R42" s="1592"/>
      <c r="S42" s="1593"/>
    </row>
    <row r="43" spans="1:19" s="17" customFormat="1" ht="30" customHeight="1" thickBot="1" x14ac:dyDescent="0.3">
      <c r="A43" s="14"/>
      <c r="B43" s="19" t="s">
        <v>2</v>
      </c>
      <c r="C43" s="20"/>
      <c r="D43" s="1582" t="s">
        <v>571</v>
      </c>
      <c r="E43" s="1583"/>
      <c r="F43" s="1584"/>
      <c r="G43" s="886">
        <f>AVERAGE(D40:D42)</f>
        <v>5.5000000000000005E-3</v>
      </c>
      <c r="H43" s="15"/>
      <c r="I43" s="77"/>
      <c r="J43" s="1582" t="s">
        <v>572</v>
      </c>
      <c r="K43" s="1583"/>
      <c r="L43" s="1584"/>
      <c r="M43" s="887">
        <f>AVERAGE(J40:J42)</f>
        <v>-2.9000000000000001E-2</v>
      </c>
      <c r="N43" s="360"/>
      <c r="O43" s="15"/>
      <c r="P43" s="1591"/>
      <c r="Q43" s="1592"/>
      <c r="R43" s="1592"/>
      <c r="S43" s="1593"/>
    </row>
    <row r="44" spans="1:19" s="17" customFormat="1" ht="45" customHeight="1" thickBot="1" x14ac:dyDescent="0.3">
      <c r="A44" s="14"/>
      <c r="O44" s="15"/>
      <c r="P44" s="1594"/>
      <c r="Q44" s="1595"/>
      <c r="R44" s="1595"/>
      <c r="S44" s="1596"/>
    </row>
    <row r="45" spans="1:19" s="17" customFormat="1" ht="45" customHeight="1" x14ac:dyDescent="0.25">
      <c r="A45" s="14"/>
      <c r="B45" s="15"/>
    </row>
    <row r="46" spans="1:19" s="17" customFormat="1" ht="30" customHeight="1" x14ac:dyDescent="0.25">
      <c r="A46" s="14"/>
      <c r="B46" s="14"/>
      <c r="C46" s="14"/>
      <c r="D46" s="14"/>
      <c r="E46" s="14"/>
      <c r="F46" s="14"/>
      <c r="G46" s="14"/>
      <c r="H46" s="14"/>
      <c r="I46" s="14"/>
      <c r="J46" s="14"/>
      <c r="K46" s="14"/>
      <c r="L46" s="14"/>
      <c r="M46" s="14"/>
      <c r="N46" s="14"/>
      <c r="O46" s="14"/>
      <c r="P46" s="14"/>
      <c r="Q46" s="14"/>
      <c r="R46" s="14"/>
    </row>
    <row r="47" spans="1:19" s="2" customFormat="1" ht="30" customHeight="1" x14ac:dyDescent="0.25">
      <c r="A47" s="7"/>
      <c r="B47" s="10"/>
      <c r="H47" s="10"/>
      <c r="N47" s="10"/>
      <c r="O47" s="10"/>
      <c r="P47" s="10"/>
      <c r="Q47" s="7"/>
      <c r="R47" s="7"/>
    </row>
    <row r="48" spans="1:19" s="10" customFormat="1" ht="25.5" customHeight="1" thickBot="1" x14ac:dyDescent="0.3">
      <c r="B48" s="21"/>
      <c r="C48" s="21"/>
      <c r="D48" s="21"/>
      <c r="E48" s="21"/>
      <c r="F48" s="21"/>
      <c r="G48" s="21"/>
      <c r="H48" s="21"/>
      <c r="I48" s="21"/>
      <c r="J48" s="21"/>
      <c r="K48" s="21"/>
      <c r="L48" s="21"/>
      <c r="M48" s="21"/>
      <c r="N48" s="21"/>
      <c r="O48" s="21"/>
    </row>
    <row r="49" spans="1:18" s="2" customFormat="1" ht="30" customHeight="1" thickBot="1" x14ac:dyDescent="0.3">
      <c r="A49" s="7"/>
      <c r="B49" s="7"/>
      <c r="C49" s="7"/>
      <c r="D49" s="7"/>
      <c r="E49" s="1442" t="s">
        <v>129</v>
      </c>
      <c r="F49" s="1443"/>
      <c r="G49" s="1443"/>
      <c r="H49" s="1443"/>
      <c r="I49" s="1443"/>
      <c r="J49" s="1443"/>
      <c r="K49" s="1443"/>
      <c r="L49" s="1444"/>
      <c r="M49" s="7"/>
      <c r="N49" s="7"/>
      <c r="O49" s="7"/>
      <c r="P49" s="7"/>
      <c r="Q49" s="7"/>
    </row>
    <row r="50" spans="1:18" s="2" customFormat="1" ht="30" customHeight="1" thickBot="1" x14ac:dyDescent="0.3">
      <c r="A50" s="7"/>
      <c r="E50" s="1611" t="s">
        <v>122</v>
      </c>
      <c r="F50" s="1612"/>
      <c r="G50" s="336" t="s">
        <v>224</v>
      </c>
      <c r="H50" s="337" t="s">
        <v>225</v>
      </c>
      <c r="I50" s="10"/>
      <c r="J50" s="338"/>
      <c r="K50" s="339"/>
      <c r="L50" s="340"/>
      <c r="M50" s="7"/>
      <c r="N50" s="341" t="s">
        <v>4</v>
      </c>
      <c r="O50" s="1587" t="s">
        <v>130</v>
      </c>
      <c r="P50" s="96"/>
      <c r="Q50" s="100" t="e">
        <f>IF(R26&gt;=(N51)," AJUSTAR","NO AJUSTAR")</f>
        <v>#N/A</v>
      </c>
      <c r="R50" s="93"/>
    </row>
    <row r="51" spans="1:18" s="2" customFormat="1" ht="30" customHeight="1" thickBot="1" x14ac:dyDescent="0.3">
      <c r="A51" s="7"/>
      <c r="E51" s="1405">
        <v>1</v>
      </c>
      <c r="F51" s="1406"/>
      <c r="G51" s="166" t="e">
        <f>$C$7*((1-$D$29*($D$25-D40))+($K$51)*(J40-D40)+$F$29*($F$25-J40))</f>
        <v>#N/A</v>
      </c>
      <c r="H51" s="162" t="e">
        <f>G51+N40</f>
        <v>#N/A</v>
      </c>
      <c r="I51" s="10"/>
      <c r="J51" s="104">
        <v>1</v>
      </c>
      <c r="K51" s="196">
        <f>(-0.1176*((D40+J40)/2)^2+(15.846*(D40+J40)/2)-62.677)*10^-6</f>
        <v>-6.2863206736149993E-5</v>
      </c>
      <c r="L51" s="197" t="s">
        <v>226</v>
      </c>
      <c r="M51" s="10"/>
      <c r="N51" s="202">
        <v>8.1940000000000008</v>
      </c>
      <c r="O51" s="1586"/>
      <c r="P51" s="99"/>
      <c r="Q51" s="342" t="e">
        <f>Q26</f>
        <v>#N/A</v>
      </c>
      <c r="R51" s="99"/>
    </row>
    <row r="52" spans="1:18" s="2" customFormat="1" ht="30" customHeight="1" thickBot="1" x14ac:dyDescent="0.3">
      <c r="A52" s="7"/>
      <c r="E52" s="1405">
        <v>2</v>
      </c>
      <c r="F52" s="1406"/>
      <c r="G52" s="166" t="e">
        <f>$C$7*((1-$D$29*($D$25-D41))+($K$52)*(J41-D41)+$F$29*($F$25-J41))</f>
        <v>#N/A</v>
      </c>
      <c r="H52" s="162" t="e">
        <f>G52+N41</f>
        <v>#N/A</v>
      </c>
      <c r="I52" s="10"/>
      <c r="J52" s="104">
        <v>2</v>
      </c>
      <c r="K52" s="196">
        <f>(-0.1176*((D41+J41)/2)^2+(15.846*(D41+J41)/2)-62.677)*10^-6</f>
        <v>-6.2863206736149993E-5</v>
      </c>
      <c r="L52" s="197" t="s">
        <v>226</v>
      </c>
      <c r="N52" s="343" t="s">
        <v>367</v>
      </c>
      <c r="O52" s="1585" t="s">
        <v>227</v>
      </c>
      <c r="P52" s="98"/>
      <c r="Q52" s="101" t="e">
        <f>IF(R24&gt;=(N53)," AJUSTAR","NO AJUSTAR")</f>
        <v>#N/A</v>
      </c>
      <c r="R52" s="95"/>
    </row>
    <row r="53" spans="1:18" s="2" customFormat="1" ht="30" customHeight="1" thickBot="1" x14ac:dyDescent="0.3">
      <c r="A53" s="7"/>
      <c r="E53" s="1405">
        <v>3</v>
      </c>
      <c r="F53" s="1406"/>
      <c r="G53" s="166" t="e">
        <f>$C$7*((1-$D$29*($D$25-D42))+($K$53)*(J42-D42)+$F$29*($F$25-J42))</f>
        <v>#N/A</v>
      </c>
      <c r="H53" s="162" t="e">
        <f>G53+N42</f>
        <v>#N/A</v>
      </c>
      <c r="I53" s="10"/>
      <c r="J53" s="104">
        <v>3</v>
      </c>
      <c r="K53" s="196">
        <f>(-0.1176*((D42+J42)/2)^2+(15.846*(D42+J42)/2)-62.677)*10^-6</f>
        <v>-6.2863206736149993E-5</v>
      </c>
      <c r="L53" s="197" t="s">
        <v>226</v>
      </c>
      <c r="N53" s="202">
        <v>0.5</v>
      </c>
      <c r="O53" s="1586"/>
      <c r="P53" s="97"/>
      <c r="Q53" s="344" t="e">
        <f>Q24</f>
        <v>#N/A</v>
      </c>
      <c r="R53" s="94"/>
    </row>
    <row r="54" spans="1:18" s="2" customFormat="1" ht="30" customHeight="1" thickBot="1" x14ac:dyDescent="0.3">
      <c r="A54" s="7"/>
      <c r="E54" s="1448" t="s">
        <v>228</v>
      </c>
      <c r="F54" s="1449"/>
      <c r="G54" s="1450"/>
      <c r="H54" s="162" t="e">
        <f>AVERAGE(H51:H53)</f>
        <v>#N/A</v>
      </c>
      <c r="J54" s="24" t="s">
        <v>2</v>
      </c>
      <c r="K54" s="25">
        <f>AVERAGE(K51:K53)</f>
        <v>-6.2863206736149993E-5</v>
      </c>
      <c r="L54" s="26" t="s">
        <v>226</v>
      </c>
    </row>
    <row r="55" spans="1:18" s="2" customFormat="1" ht="30" customHeight="1" x14ac:dyDescent="0.25">
      <c r="A55" s="7"/>
      <c r="E55" s="1448" t="s">
        <v>229</v>
      </c>
      <c r="F55" s="1449"/>
      <c r="G55" s="1450"/>
      <c r="H55" s="210" t="e">
        <f>_xlfn.STDEV.S(H51:H53)</f>
        <v>#N/A</v>
      </c>
      <c r="I55" s="7"/>
      <c r="J55" s="27"/>
      <c r="K55" s="28"/>
      <c r="L55" s="28"/>
      <c r="M55" s="78"/>
      <c r="N55" s="78"/>
      <c r="O55" s="79"/>
    </row>
    <row r="56" spans="1:18" s="2" customFormat="1" ht="30" customHeight="1" thickBot="1" x14ac:dyDescent="0.3">
      <c r="A56" s="7"/>
      <c r="B56" s="10"/>
      <c r="E56" s="1453" t="s">
        <v>131</v>
      </c>
      <c r="F56" s="1454"/>
      <c r="G56" s="1455"/>
      <c r="H56" s="213" t="e">
        <f>H55/SQRT(3)</f>
        <v>#N/A</v>
      </c>
      <c r="I56" s="7"/>
      <c r="J56" s="27"/>
      <c r="K56" s="28"/>
      <c r="L56" s="29"/>
      <c r="M56" s="10"/>
      <c r="N56" s="10"/>
      <c r="O56" s="10"/>
      <c r="P56" s="10"/>
      <c r="Q56" s="7"/>
      <c r="R56" s="7"/>
    </row>
    <row r="57" spans="1:18" s="2" customFormat="1" ht="30" customHeight="1" x14ac:dyDescent="0.25">
      <c r="A57" s="7"/>
      <c r="B57" s="10"/>
      <c r="M57" s="10" t="s">
        <v>12</v>
      </c>
      <c r="N57" s="10"/>
      <c r="O57" s="10"/>
      <c r="P57" s="10"/>
      <c r="Q57" s="7"/>
      <c r="R57" s="7"/>
    </row>
    <row r="58" spans="1:18" s="10" customFormat="1" ht="22.5" customHeight="1" x14ac:dyDescent="0.25">
      <c r="A58" s="30"/>
      <c r="J58" s="8"/>
      <c r="K58" s="8"/>
      <c r="L58" s="31"/>
      <c r="M58" s="31"/>
      <c r="N58" s="31"/>
      <c r="O58" s="31"/>
      <c r="Q58" s="7"/>
      <c r="R58" s="7"/>
    </row>
    <row r="59" spans="1:18" s="2" customFormat="1" ht="30" customHeight="1" thickBot="1" x14ac:dyDescent="0.3">
      <c r="M59" s="10"/>
      <c r="N59" s="10"/>
      <c r="O59" s="10"/>
      <c r="P59" s="10"/>
      <c r="Q59" s="7"/>
      <c r="R59" s="7"/>
    </row>
    <row r="60" spans="1:18" s="2" customFormat="1" ht="30" customHeight="1" thickBot="1" x14ac:dyDescent="0.3">
      <c r="A60" s="10"/>
      <c r="B60" s="1442" t="s">
        <v>132</v>
      </c>
      <c r="C60" s="1443"/>
      <c r="D60" s="1443"/>
      <c r="E60" s="1443"/>
      <c r="F60" s="1443"/>
      <c r="G60" s="1443"/>
      <c r="H60" s="1443"/>
      <c r="I60" s="1443"/>
      <c r="J60" s="1443"/>
      <c r="K60" s="1443"/>
      <c r="L60" s="1444"/>
      <c r="M60" s="10"/>
      <c r="Q60" s="7"/>
      <c r="R60" s="7"/>
    </row>
    <row r="61" spans="1:18" s="2" customFormat="1" ht="30" customHeight="1" x14ac:dyDescent="0.25">
      <c r="A61" s="10"/>
      <c r="B61" s="216"/>
      <c r="C61" s="28"/>
      <c r="D61" s="28"/>
      <c r="E61" s="28"/>
      <c r="F61" s="28"/>
      <c r="G61" s="28"/>
      <c r="H61" s="28"/>
      <c r="I61" s="28"/>
      <c r="J61" s="28"/>
      <c r="K61" s="217" t="s">
        <v>133</v>
      </c>
      <c r="L61" s="218" t="s">
        <v>92</v>
      </c>
      <c r="M61" s="10"/>
      <c r="N61" s="102" t="s">
        <v>92</v>
      </c>
      <c r="O61" s="103" t="s">
        <v>1</v>
      </c>
      <c r="P61" s="70" t="s">
        <v>0</v>
      </c>
      <c r="Q61" s="7"/>
      <c r="R61" s="7"/>
    </row>
    <row r="62" spans="1:18" s="10" customFormat="1" ht="30" customHeight="1" x14ac:dyDescent="0.25">
      <c r="B62" s="1407" t="s">
        <v>267</v>
      </c>
      <c r="C62" s="1408"/>
      <c r="D62" s="1408"/>
      <c r="E62" s="219"/>
      <c r="F62" s="219"/>
      <c r="G62" s="220"/>
      <c r="H62" s="220"/>
      <c r="I62" s="220"/>
      <c r="J62" s="221"/>
      <c r="K62" s="222" t="e">
        <f>(1-$O$70*(O68-O64))+(O74)*(P66-O64)+P72*(P76-P66)</f>
        <v>#N/A</v>
      </c>
      <c r="L62" s="975" t="s">
        <v>486</v>
      </c>
      <c r="N62" s="36"/>
      <c r="O62" s="12" t="e">
        <f>C7</f>
        <v>#N/A</v>
      </c>
      <c r="P62" s="37"/>
    </row>
    <row r="63" spans="1:18" s="2" customFormat="1" ht="5.0999999999999996" customHeight="1" x14ac:dyDescent="0.25">
      <c r="A63" s="10"/>
      <c r="B63" s="81"/>
      <c r="C63" s="9"/>
      <c r="D63" s="9"/>
      <c r="E63" s="9"/>
      <c r="F63" s="224"/>
      <c r="G63" s="212"/>
      <c r="H63" s="212"/>
      <c r="I63" s="212"/>
      <c r="J63" s="212"/>
      <c r="K63" s="9"/>
      <c r="L63" s="976"/>
      <c r="M63" s="10"/>
      <c r="N63" s="33"/>
      <c r="O63" s="34"/>
      <c r="P63" s="35"/>
      <c r="R63" s="7"/>
    </row>
    <row r="64" spans="1:18" s="7" customFormat="1" ht="30" customHeight="1" x14ac:dyDescent="0.25">
      <c r="A64" s="10"/>
      <c r="B64" s="1407" t="s">
        <v>268</v>
      </c>
      <c r="C64" s="1408"/>
      <c r="D64" s="1408"/>
      <c r="E64" s="1408"/>
      <c r="F64" s="219"/>
      <c r="G64" s="220"/>
      <c r="H64" s="220"/>
      <c r="I64" s="220"/>
      <c r="J64" s="221"/>
      <c r="K64" s="222" t="e">
        <f>$O$62*(O70-O74)</f>
        <v>#N/A</v>
      </c>
      <c r="L64" s="975" t="s">
        <v>546</v>
      </c>
      <c r="N64" s="36"/>
      <c r="O64" s="38">
        <f>G43</f>
        <v>5.5000000000000005E-3</v>
      </c>
      <c r="P64" s="37"/>
    </row>
    <row r="65" spans="1:18" s="2" customFormat="1" ht="5.0999999999999996" customHeight="1" x14ac:dyDescent="0.25">
      <c r="A65" s="10"/>
      <c r="B65" s="81"/>
      <c r="C65" s="9"/>
      <c r="D65" s="9"/>
      <c r="E65" s="9"/>
      <c r="F65" s="224"/>
      <c r="G65" s="212"/>
      <c r="H65" s="212"/>
      <c r="I65" s="212"/>
      <c r="J65" s="212"/>
      <c r="K65" s="9"/>
      <c r="L65" s="977"/>
      <c r="M65" s="7"/>
      <c r="N65" s="33"/>
      <c r="O65" s="34"/>
      <c r="P65" s="35"/>
      <c r="Q65" s="7"/>
      <c r="R65" s="7"/>
    </row>
    <row r="66" spans="1:18" s="7" customFormat="1" ht="30" customHeight="1" x14ac:dyDescent="0.25">
      <c r="A66" s="10"/>
      <c r="B66" s="1407" t="s">
        <v>269</v>
      </c>
      <c r="C66" s="1408"/>
      <c r="D66" s="1408"/>
      <c r="E66" s="1408"/>
      <c r="F66" s="219"/>
      <c r="G66" s="220"/>
      <c r="H66" s="220"/>
      <c r="I66" s="220"/>
      <c r="J66" s="221"/>
      <c r="K66" s="222" t="e">
        <f>$O$62*(O74-P72)</f>
        <v>#N/A</v>
      </c>
      <c r="L66" s="975" t="s">
        <v>546</v>
      </c>
      <c r="N66" s="36"/>
      <c r="O66" s="39"/>
      <c r="P66" s="40">
        <f>M43</f>
        <v>-2.9000000000000001E-2</v>
      </c>
    </row>
    <row r="67" spans="1:18" s="2" customFormat="1" ht="5.0999999999999996" customHeight="1" x14ac:dyDescent="0.25">
      <c r="A67" s="10"/>
      <c r="B67" s="81"/>
      <c r="C67" s="9"/>
      <c r="D67" s="9"/>
      <c r="E67" s="9"/>
      <c r="F67" s="9"/>
      <c r="G67" s="212"/>
      <c r="H67" s="212"/>
      <c r="I67" s="212"/>
      <c r="J67" s="212"/>
      <c r="K67" s="9"/>
      <c r="L67" s="977"/>
      <c r="M67" s="7"/>
      <c r="N67" s="33"/>
      <c r="O67" s="34"/>
      <c r="P67" s="35"/>
      <c r="Q67" s="7"/>
      <c r="R67" s="7"/>
    </row>
    <row r="68" spans="1:18" s="7" customFormat="1" ht="30" customHeight="1" x14ac:dyDescent="0.25">
      <c r="A68" s="10"/>
      <c r="B68" s="1407" t="s">
        <v>266</v>
      </c>
      <c r="C68" s="1408"/>
      <c r="D68" s="1408"/>
      <c r="E68" s="1408"/>
      <c r="F68" s="1408"/>
      <c r="G68" s="220"/>
      <c r="H68" s="220"/>
      <c r="I68" s="220"/>
      <c r="J68" s="221"/>
      <c r="K68" s="222" t="e">
        <f>-O$62*(O68-O64)</f>
        <v>#N/A</v>
      </c>
      <c r="L68" s="975" t="s">
        <v>487</v>
      </c>
      <c r="N68" s="41"/>
      <c r="O68" s="12" t="e">
        <f>D25</f>
        <v>#N/A</v>
      </c>
      <c r="P68" s="42">
        <v>0</v>
      </c>
    </row>
    <row r="69" spans="1:18" s="2" customFormat="1" ht="5.0999999999999996" customHeight="1" x14ac:dyDescent="0.25">
      <c r="A69" s="10"/>
      <c r="B69" s="81"/>
      <c r="C69" s="9"/>
      <c r="D69" s="9"/>
      <c r="E69" s="9"/>
      <c r="F69" s="9"/>
      <c r="G69" s="212"/>
      <c r="H69" s="212"/>
      <c r="I69" s="212"/>
      <c r="J69" s="212"/>
      <c r="K69" s="9"/>
      <c r="L69" s="977"/>
      <c r="M69" s="7"/>
      <c r="N69" s="33"/>
      <c r="O69" s="34"/>
      <c r="P69" s="35"/>
      <c r="Q69" s="7"/>
      <c r="R69" s="7"/>
    </row>
    <row r="70" spans="1:18" s="7" customFormat="1" ht="30" customHeight="1" x14ac:dyDescent="0.25">
      <c r="A70" s="10"/>
      <c r="B70" s="1407" t="s">
        <v>265</v>
      </c>
      <c r="C70" s="1408"/>
      <c r="D70" s="1408"/>
      <c r="E70" s="1408"/>
      <c r="F70" s="1408"/>
      <c r="G70" s="228"/>
      <c r="H70" s="228"/>
      <c r="I70" s="228"/>
      <c r="J70" s="221"/>
      <c r="K70" s="222" t="e">
        <f>$O$62*(P76-P66)</f>
        <v>#N/A</v>
      </c>
      <c r="L70" s="975" t="s">
        <v>487</v>
      </c>
      <c r="N70" s="36"/>
      <c r="O70" s="91" t="e">
        <f>D29</f>
        <v>#N/A</v>
      </c>
      <c r="P70" s="37"/>
    </row>
    <row r="71" spans="1:18" s="2" customFormat="1" ht="5.0999999999999996" customHeight="1" x14ac:dyDescent="0.25">
      <c r="A71" s="10"/>
      <c r="B71" s="81"/>
      <c r="C71" s="9"/>
      <c r="D71" s="9"/>
      <c r="E71" s="9"/>
      <c r="F71" s="9"/>
      <c r="G71" s="212"/>
      <c r="H71" s="212"/>
      <c r="I71" s="212"/>
      <c r="J71" s="212"/>
      <c r="K71" s="9"/>
      <c r="L71" s="977"/>
      <c r="M71" s="7"/>
      <c r="N71" s="33"/>
      <c r="O71" s="34"/>
      <c r="P71" s="35"/>
      <c r="Q71" s="7"/>
      <c r="R71" s="7"/>
    </row>
    <row r="72" spans="1:18" s="7" customFormat="1" ht="30" customHeight="1" x14ac:dyDescent="0.25">
      <c r="A72" s="10"/>
      <c r="B72" s="1407" t="s">
        <v>134</v>
      </c>
      <c r="C72" s="1408"/>
      <c r="D72" s="1408"/>
      <c r="E72" s="1408"/>
      <c r="F72" s="1408"/>
      <c r="G72" s="220"/>
      <c r="H72" s="220"/>
      <c r="I72" s="220"/>
      <c r="J72" s="221"/>
      <c r="K72" s="222" t="e">
        <f>$O$62*(P66-O64)</f>
        <v>#N/A</v>
      </c>
      <c r="L72" s="975" t="s">
        <v>487</v>
      </c>
      <c r="N72" s="36"/>
      <c r="O72" s="39"/>
      <c r="P72" s="998" t="e">
        <f>F29</f>
        <v>#N/A</v>
      </c>
    </row>
    <row r="73" spans="1:18" s="2" customFormat="1" ht="5.0999999999999996" customHeight="1" x14ac:dyDescent="0.25">
      <c r="A73" s="10"/>
      <c r="B73" s="81"/>
      <c r="C73" s="9"/>
      <c r="D73" s="9"/>
      <c r="E73" s="224"/>
      <c r="F73" s="224"/>
      <c r="G73" s="212"/>
      <c r="H73" s="212"/>
      <c r="I73" s="212"/>
      <c r="J73" s="212"/>
      <c r="K73" s="9"/>
      <c r="L73" s="978"/>
      <c r="M73" s="31"/>
      <c r="N73" s="43"/>
      <c r="O73" s="34"/>
      <c r="P73" s="35"/>
      <c r="Q73" s="7"/>
      <c r="R73" s="7"/>
    </row>
    <row r="74" spans="1:18" s="7" customFormat="1" ht="30" customHeight="1" x14ac:dyDescent="0.25">
      <c r="A74" s="10"/>
      <c r="B74" s="1407" t="s">
        <v>135</v>
      </c>
      <c r="C74" s="1408"/>
      <c r="D74" s="1408"/>
      <c r="E74" s="231"/>
      <c r="F74" s="231"/>
      <c r="G74" s="228"/>
      <c r="H74" s="228"/>
      <c r="I74" s="228"/>
      <c r="J74" s="221"/>
      <c r="K74" s="232">
        <v>1</v>
      </c>
      <c r="L74" s="975" t="s">
        <v>486</v>
      </c>
      <c r="M74" s="31"/>
      <c r="N74" s="36"/>
      <c r="O74" s="23">
        <f>D33</f>
        <v>-6.2863206736149993E-5</v>
      </c>
      <c r="P74" s="44">
        <f>F33</f>
        <v>-6.2863206736149993E-5</v>
      </c>
    </row>
    <row r="75" spans="1:18" s="2" customFormat="1" ht="5.0999999999999996" customHeight="1" x14ac:dyDescent="0.25">
      <c r="A75" s="4"/>
      <c r="B75" s="81"/>
      <c r="C75" s="9"/>
      <c r="D75" s="9"/>
      <c r="E75" s="224"/>
      <c r="F75" s="224"/>
      <c r="G75" s="212"/>
      <c r="H75" s="212"/>
      <c r="I75" s="212"/>
      <c r="J75" s="212"/>
      <c r="K75" s="9"/>
      <c r="L75" s="978"/>
      <c r="M75" s="31"/>
      <c r="N75" s="43"/>
      <c r="O75" s="34"/>
      <c r="P75" s="35"/>
      <c r="Q75" s="7"/>
      <c r="R75" s="7"/>
    </row>
    <row r="76" spans="1:18" s="7" customFormat="1" ht="30" customHeight="1" thickBot="1" x14ac:dyDescent="0.3">
      <c r="A76" s="10"/>
      <c r="B76" s="1407" t="s">
        <v>136</v>
      </c>
      <c r="C76" s="1408"/>
      <c r="D76" s="1408"/>
      <c r="E76" s="231"/>
      <c r="F76" s="231"/>
      <c r="G76" s="228"/>
      <c r="H76" s="228"/>
      <c r="I76" s="228"/>
      <c r="J76" s="221"/>
      <c r="K76" s="232">
        <v>1</v>
      </c>
      <c r="L76" s="975" t="s">
        <v>486</v>
      </c>
      <c r="M76" s="31"/>
      <c r="N76" s="45"/>
      <c r="O76" s="39"/>
      <c r="P76" s="999" t="e">
        <f>F25</f>
        <v>#N/A</v>
      </c>
    </row>
    <row r="77" spans="1:18" s="2" customFormat="1" ht="5.0999999999999996" customHeight="1" x14ac:dyDescent="0.25">
      <c r="A77" s="10"/>
      <c r="B77" s="81"/>
      <c r="C77" s="9"/>
      <c r="D77" s="9"/>
      <c r="E77" s="224"/>
      <c r="F77" s="224"/>
      <c r="G77" s="212"/>
      <c r="H77" s="212"/>
      <c r="I77" s="212"/>
      <c r="J77" s="212"/>
      <c r="K77" s="9"/>
      <c r="L77" s="978"/>
      <c r="M77" s="31"/>
      <c r="Q77" s="7"/>
      <c r="R77" s="7"/>
    </row>
    <row r="78" spans="1:18" s="7" customFormat="1" ht="30" customHeight="1" x14ac:dyDescent="0.25">
      <c r="A78" s="10"/>
      <c r="B78" s="1407" t="s">
        <v>137</v>
      </c>
      <c r="C78" s="1408"/>
      <c r="D78" s="1408"/>
      <c r="E78" s="219"/>
      <c r="F78" s="219"/>
      <c r="G78" s="220"/>
      <c r="H78" s="220"/>
      <c r="I78" s="220"/>
      <c r="J78" s="221"/>
      <c r="K78" s="232">
        <v>1</v>
      </c>
      <c r="L78" s="975" t="s">
        <v>486</v>
      </c>
      <c r="M78" s="31"/>
    </row>
    <row r="79" spans="1:18" s="7" customFormat="1" ht="5.0999999999999996" customHeight="1" x14ac:dyDescent="0.25">
      <c r="A79" s="10"/>
      <c r="B79" s="32"/>
      <c r="C79" s="10"/>
      <c r="D79" s="10"/>
      <c r="E79" s="10"/>
      <c r="F79" s="10"/>
      <c r="G79" s="10"/>
      <c r="H79" s="10"/>
      <c r="I79" s="10"/>
      <c r="J79" s="10"/>
      <c r="K79" s="10"/>
      <c r="L79" s="237"/>
      <c r="M79" s="31"/>
      <c r="N79" s="31"/>
      <c r="O79" s="47"/>
      <c r="P79" s="10"/>
    </row>
    <row r="80" spans="1:18" s="7" customFormat="1" ht="39.75" customHeight="1" thickBot="1" x14ac:dyDescent="0.3">
      <c r="A80" s="10"/>
      <c r="B80" s="1445" t="s">
        <v>270</v>
      </c>
      <c r="C80" s="1446"/>
      <c r="D80" s="1446"/>
      <c r="E80" s="1446"/>
      <c r="F80" s="1446"/>
      <c r="G80" s="238"/>
      <c r="H80" s="238"/>
      <c r="I80" s="238"/>
      <c r="J80" s="239"/>
      <c r="K80" s="240" t="e">
        <f>D32</f>
        <v>#N/A</v>
      </c>
      <c r="L80" s="241" t="s">
        <v>485</v>
      </c>
      <c r="M80" s="31"/>
    </row>
    <row r="81" spans="1:18" s="7" customFormat="1" ht="34.5" customHeight="1" thickBot="1" x14ac:dyDescent="0.3">
      <c r="A81" s="10"/>
      <c r="M81" s="31"/>
      <c r="N81" s="31"/>
      <c r="O81" s="47"/>
      <c r="P81" s="10"/>
    </row>
    <row r="82" spans="1:18" s="7" customFormat="1" ht="34.5" customHeight="1" thickBot="1" x14ac:dyDescent="0.3">
      <c r="A82" s="31"/>
      <c r="B82" s="1442" t="s">
        <v>138</v>
      </c>
      <c r="C82" s="1443"/>
      <c r="D82" s="1443"/>
      <c r="E82" s="1443"/>
      <c r="F82" s="1443"/>
      <c r="G82" s="1443"/>
      <c r="H82" s="1443"/>
      <c r="I82" s="1443"/>
      <c r="J82" s="1443"/>
      <c r="K82" s="1443"/>
      <c r="L82" s="1443"/>
      <c r="M82" s="1443"/>
      <c r="N82" s="1443"/>
      <c r="O82" s="1443"/>
      <c r="P82" s="1443"/>
      <c r="Q82" s="1444"/>
    </row>
    <row r="83" spans="1:18" s="2" customFormat="1" ht="39.950000000000003" customHeight="1" x14ac:dyDescent="0.25">
      <c r="B83" s="1613" t="s">
        <v>139</v>
      </c>
      <c r="C83" s="1614"/>
      <c r="D83" s="242" t="s">
        <v>230</v>
      </c>
      <c r="E83" s="896" t="s">
        <v>140</v>
      </c>
      <c r="F83" s="242"/>
      <c r="G83" s="242" t="s">
        <v>141</v>
      </c>
      <c r="H83" s="897" t="s">
        <v>142</v>
      </c>
      <c r="I83" s="242"/>
      <c r="J83" s="885" t="s">
        <v>143</v>
      </c>
      <c r="K83" s="242"/>
      <c r="L83" s="885" t="s">
        <v>144</v>
      </c>
      <c r="M83" s="242"/>
      <c r="N83" s="217" t="s">
        <v>573</v>
      </c>
      <c r="O83" s="217" t="s">
        <v>145</v>
      </c>
      <c r="P83" s="217" t="s">
        <v>146</v>
      </c>
      <c r="Q83" s="243" t="s">
        <v>147</v>
      </c>
    </row>
    <row r="84" spans="1:18" s="2" customFormat="1" ht="39.950000000000003" customHeight="1" x14ac:dyDescent="0.25">
      <c r="A84" s="7"/>
      <c r="B84" s="1417" t="s">
        <v>148</v>
      </c>
      <c r="C84" s="1418"/>
      <c r="D84" s="245" t="e">
        <f>C7</f>
        <v>#N/A</v>
      </c>
      <c r="E84" s="246"/>
      <c r="F84" s="246"/>
      <c r="G84" s="246"/>
      <c r="H84" s="246"/>
      <c r="I84" s="246"/>
      <c r="J84" s="246"/>
      <c r="K84" s="246"/>
      <c r="L84" s="246"/>
      <c r="M84" s="246"/>
      <c r="N84" s="247"/>
      <c r="O84" s="246"/>
      <c r="P84" s="246"/>
      <c r="Q84" s="248"/>
    </row>
    <row r="85" spans="1:18" s="47" customFormat="1" ht="39.950000000000003" customHeight="1" x14ac:dyDescent="0.25">
      <c r="B85" s="1415" t="s">
        <v>149</v>
      </c>
      <c r="C85" s="1416"/>
      <c r="D85" s="249"/>
      <c r="E85" s="48" t="e">
        <f>I7</f>
        <v>#N/A</v>
      </c>
      <c r="F85" s="979" t="s">
        <v>4</v>
      </c>
      <c r="G85" s="48" t="e">
        <f>O7</f>
        <v>#N/A</v>
      </c>
      <c r="H85" s="48" t="e">
        <f>E85/G85</f>
        <v>#N/A</v>
      </c>
      <c r="I85" s="979" t="s">
        <v>4</v>
      </c>
      <c r="J85" s="251" t="e">
        <f>K62</f>
        <v>#N/A</v>
      </c>
      <c r="K85" s="49" t="str">
        <f>L64</f>
        <v>mL°C-1</v>
      </c>
      <c r="L85" s="252" t="e">
        <f>H85*J85</f>
        <v>#N/A</v>
      </c>
      <c r="M85" s="49" t="s">
        <v>4</v>
      </c>
      <c r="N85" s="251" t="e">
        <f>L85^2</f>
        <v>#N/A</v>
      </c>
      <c r="O85" s="49" t="s">
        <v>19</v>
      </c>
      <c r="P85" s="49" t="s">
        <v>150</v>
      </c>
      <c r="Q85" s="50">
        <v>50</v>
      </c>
    </row>
    <row r="86" spans="1:18" s="2" customFormat="1" ht="39.950000000000003" customHeight="1" x14ac:dyDescent="0.25">
      <c r="A86" s="1574"/>
      <c r="B86" s="1415" t="s">
        <v>151</v>
      </c>
      <c r="C86" s="1416"/>
      <c r="D86" s="249"/>
      <c r="E86" s="251" t="e">
        <f>K7</f>
        <v>#N/A</v>
      </c>
      <c r="F86" s="250" t="s">
        <v>4</v>
      </c>
      <c r="G86" s="48">
        <f>SQRT(3)</f>
        <v>1.7320508075688772</v>
      </c>
      <c r="H86" s="48" t="e">
        <f>E86/G86</f>
        <v>#N/A</v>
      </c>
      <c r="I86" s="250" t="str">
        <f>F86</f>
        <v>mL</v>
      </c>
      <c r="J86" s="251" t="e">
        <f>K62</f>
        <v>#N/A</v>
      </c>
      <c r="K86" s="49" t="str">
        <f>L64</f>
        <v>mL°C-1</v>
      </c>
      <c r="L86" s="252" t="e">
        <f>H86*J86</f>
        <v>#N/A</v>
      </c>
      <c r="M86" s="49" t="s">
        <v>4</v>
      </c>
      <c r="N86" s="251" t="e">
        <f>L86^2</f>
        <v>#N/A</v>
      </c>
      <c r="O86" s="49" t="s">
        <v>19</v>
      </c>
      <c r="P86" s="49" t="s">
        <v>5</v>
      </c>
      <c r="Q86" s="50" t="s">
        <v>11</v>
      </c>
      <c r="R86" s="7"/>
    </row>
    <row r="87" spans="1:18" s="2" customFormat="1" ht="5.0999999999999996" customHeight="1" x14ac:dyDescent="0.25">
      <c r="A87" s="1574"/>
      <c r="B87" s="1575"/>
      <c r="C87" s="1576"/>
      <c r="D87" s="345"/>
      <c r="E87" s="253"/>
      <c r="F87" s="253"/>
      <c r="G87" s="253"/>
      <c r="H87" s="253"/>
      <c r="I87" s="253"/>
      <c r="J87" s="253"/>
      <c r="K87" s="253"/>
      <c r="L87" s="253"/>
      <c r="M87" s="253"/>
      <c r="N87" s="253"/>
      <c r="O87" s="253"/>
      <c r="P87" s="253"/>
      <c r="Q87" s="254"/>
      <c r="R87" s="7"/>
    </row>
    <row r="88" spans="1:18" s="47" customFormat="1" ht="39.950000000000003" customHeight="1" x14ac:dyDescent="0.25">
      <c r="B88" s="1597" t="s">
        <v>271</v>
      </c>
      <c r="C88" s="1598"/>
      <c r="D88" s="274" t="e">
        <f>C14</f>
        <v>#N/A</v>
      </c>
      <c r="E88" s="346"/>
      <c r="F88" s="253"/>
      <c r="G88" s="253"/>
      <c r="H88" s="253"/>
      <c r="I88" s="253"/>
      <c r="J88" s="253"/>
      <c r="K88" s="253"/>
      <c r="L88" s="253"/>
      <c r="M88" s="253"/>
      <c r="N88" s="253"/>
      <c r="O88" s="253"/>
      <c r="P88" s="253"/>
      <c r="Q88" s="254"/>
    </row>
    <row r="89" spans="1:18" s="2" customFormat="1" ht="39.950000000000003" customHeight="1" x14ac:dyDescent="0.25">
      <c r="A89" s="10"/>
      <c r="B89" s="1597" t="s">
        <v>272</v>
      </c>
      <c r="C89" s="1598"/>
      <c r="D89" s="255"/>
      <c r="E89" s="252" t="e">
        <f>I14</f>
        <v>#N/A</v>
      </c>
      <c r="F89" s="256" t="str">
        <f>F15</f>
        <v>mL</v>
      </c>
      <c r="G89" s="257" t="e">
        <f>O14</f>
        <v>#N/A</v>
      </c>
      <c r="H89" s="252" t="e">
        <f>+E89/G89</f>
        <v>#N/A</v>
      </c>
      <c r="I89" s="256" t="str">
        <f>F89</f>
        <v>mL</v>
      </c>
      <c r="J89" s="258" t="e">
        <f>+K80</f>
        <v>#N/A</v>
      </c>
      <c r="K89" s="256"/>
      <c r="L89" s="259" t="e">
        <f>H89*J89</f>
        <v>#N/A</v>
      </c>
      <c r="M89" s="256" t="s">
        <v>4</v>
      </c>
      <c r="N89" s="259" t="e">
        <f>L89^2</f>
        <v>#N/A</v>
      </c>
      <c r="O89" s="49" t="s">
        <v>19</v>
      </c>
      <c r="P89" s="49" t="s">
        <v>150</v>
      </c>
      <c r="Q89" s="50">
        <v>50</v>
      </c>
      <c r="R89" s="7"/>
    </row>
    <row r="90" spans="1:18" s="47" customFormat="1" ht="39.950000000000003" customHeight="1" x14ac:dyDescent="0.25">
      <c r="B90" s="1597" t="s">
        <v>273</v>
      </c>
      <c r="C90" s="1598"/>
      <c r="D90" s="255"/>
      <c r="E90" s="252" t="e">
        <f>E14</f>
        <v>#N/A</v>
      </c>
      <c r="F90" s="256" t="str">
        <f>F15</f>
        <v>mL</v>
      </c>
      <c r="G90" s="252">
        <f>SQRT(12)</f>
        <v>3.4641016151377544</v>
      </c>
      <c r="H90" s="252" t="e">
        <f>+E90/G90</f>
        <v>#N/A</v>
      </c>
      <c r="I90" s="256" t="str">
        <f t="shared" ref="I90" si="7">F90</f>
        <v>mL</v>
      </c>
      <c r="J90" s="258" t="e">
        <f>+K80</f>
        <v>#N/A</v>
      </c>
      <c r="K90" s="256"/>
      <c r="L90" s="280" t="e">
        <f>H90*J90</f>
        <v>#N/A</v>
      </c>
      <c r="M90" s="256" t="s">
        <v>4</v>
      </c>
      <c r="N90" s="280" t="e">
        <f t="shared" ref="N90" si="8">L90^2</f>
        <v>#N/A</v>
      </c>
      <c r="O90" s="49" t="s">
        <v>19</v>
      </c>
      <c r="P90" s="49" t="s">
        <v>5</v>
      </c>
      <c r="Q90" s="50" t="s">
        <v>11</v>
      </c>
    </row>
    <row r="91" spans="1:18" s="2" customFormat="1" ht="39.950000000000003" customHeight="1" x14ac:dyDescent="0.25">
      <c r="A91" s="10"/>
      <c r="B91" s="1597" t="s">
        <v>274</v>
      </c>
      <c r="C91" s="1598"/>
      <c r="D91" s="255"/>
      <c r="E91" s="252" t="e">
        <f>K14</f>
        <v>#N/A</v>
      </c>
      <c r="F91" s="256" t="str">
        <f>F15</f>
        <v>mL</v>
      </c>
      <c r="G91" s="251" t="e">
        <f>K14</f>
        <v>#N/A</v>
      </c>
      <c r="H91" s="260" t="e">
        <f>E91/G91</f>
        <v>#N/A</v>
      </c>
      <c r="I91" s="256" t="str">
        <f>F91</f>
        <v>mL</v>
      </c>
      <c r="J91" s="258" t="e">
        <f>+K80</f>
        <v>#N/A</v>
      </c>
      <c r="K91" s="256"/>
      <c r="L91" s="258" t="e">
        <f t="shared" ref="L91" si="9">H91*J91</f>
        <v>#N/A</v>
      </c>
      <c r="M91" s="256" t="s">
        <v>4</v>
      </c>
      <c r="N91" s="261" t="e">
        <f>L91^2</f>
        <v>#N/A</v>
      </c>
      <c r="O91" s="49" t="s">
        <v>19</v>
      </c>
      <c r="P91" s="49" t="s">
        <v>5</v>
      </c>
      <c r="Q91" s="50" t="s">
        <v>11</v>
      </c>
      <c r="R91" s="7"/>
    </row>
    <row r="92" spans="1:18" s="2" customFormat="1" ht="5.0999999999999996" customHeight="1" x14ac:dyDescent="0.25">
      <c r="A92" s="10"/>
      <c r="B92" s="262"/>
      <c r="C92" s="263"/>
      <c r="D92" s="264"/>
      <c r="E92" s="265"/>
      <c r="F92" s="266"/>
      <c r="G92" s="267"/>
      <c r="H92" s="268"/>
      <c r="I92" s="269"/>
      <c r="J92" s="270"/>
      <c r="K92" s="271"/>
      <c r="L92" s="268"/>
      <c r="M92" s="268"/>
      <c r="N92" s="272"/>
      <c r="O92" s="268"/>
      <c r="P92" s="268"/>
      <c r="Q92" s="273"/>
      <c r="R92" s="7"/>
    </row>
    <row r="93" spans="1:18" s="2" customFormat="1" ht="39.950000000000003" customHeight="1" x14ac:dyDescent="0.25">
      <c r="A93" s="10"/>
      <c r="B93" s="1597" t="s">
        <v>152</v>
      </c>
      <c r="C93" s="1598"/>
      <c r="D93" s="274">
        <f>G43</f>
        <v>5.5000000000000005E-3</v>
      </c>
      <c r="E93" s="275">
        <f>G43</f>
        <v>5.5000000000000005E-3</v>
      </c>
      <c r="F93" s="250" t="s">
        <v>3</v>
      </c>
      <c r="G93" s="253"/>
      <c r="H93" s="253"/>
      <c r="I93" s="253"/>
      <c r="J93" s="276"/>
      <c r="K93" s="253"/>
      <c r="L93" s="253"/>
      <c r="M93" s="253"/>
      <c r="N93" s="253"/>
      <c r="O93" s="253"/>
      <c r="P93" s="253"/>
      <c r="Q93" s="254"/>
      <c r="R93" s="7"/>
    </row>
    <row r="94" spans="1:18" s="2" customFormat="1" ht="39.950000000000003" customHeight="1" x14ac:dyDescent="0.25">
      <c r="A94" s="10"/>
      <c r="B94" s="1597" t="s">
        <v>153</v>
      </c>
      <c r="C94" s="1598"/>
      <c r="D94" s="255"/>
      <c r="E94" s="48" t="e">
        <f>E9</f>
        <v>#N/A</v>
      </c>
      <c r="F94" s="250" t="s">
        <v>3</v>
      </c>
      <c r="G94" s="48">
        <f>SQRT(12)</f>
        <v>3.4641016151377544</v>
      </c>
      <c r="H94" s="48" t="e">
        <f>E94/G94</f>
        <v>#N/A</v>
      </c>
      <c r="I94" s="980" t="s">
        <v>3</v>
      </c>
      <c r="J94" s="258" t="e">
        <f>K64</f>
        <v>#N/A</v>
      </c>
      <c r="K94" s="49" t="s">
        <v>21</v>
      </c>
      <c r="L94" s="48" t="e">
        <f t="shared" ref="L94:L107" si="10">H94*J94</f>
        <v>#N/A</v>
      </c>
      <c r="M94" s="49" t="s">
        <v>4</v>
      </c>
      <c r="N94" s="347" t="e">
        <f t="shared" ref="N94:N107" si="11">L94^2</f>
        <v>#N/A</v>
      </c>
      <c r="O94" s="49" t="s">
        <v>20</v>
      </c>
      <c r="P94" s="49" t="s">
        <v>5</v>
      </c>
      <c r="Q94" s="50" t="s">
        <v>11</v>
      </c>
      <c r="R94" s="7"/>
    </row>
    <row r="95" spans="1:18" s="47" customFormat="1" ht="39.950000000000003" customHeight="1" x14ac:dyDescent="0.25">
      <c r="B95" s="1597" t="s">
        <v>154</v>
      </c>
      <c r="C95" s="1598"/>
      <c r="D95" s="255"/>
      <c r="E95" s="275" t="e">
        <f>I9</f>
        <v>#N/A</v>
      </c>
      <c r="F95" s="250" t="str">
        <f>F12</f>
        <v>°C</v>
      </c>
      <c r="G95" s="48" t="e">
        <f>O9</f>
        <v>#N/A</v>
      </c>
      <c r="H95" s="48" t="e">
        <f t="shared" ref="H95:H107" si="12">E95/G95</f>
        <v>#N/A</v>
      </c>
      <c r="I95" s="980" t="s">
        <v>3</v>
      </c>
      <c r="J95" s="258" t="e">
        <f>K64</f>
        <v>#N/A</v>
      </c>
      <c r="K95" s="49" t="s">
        <v>21</v>
      </c>
      <c r="L95" s="48" t="e">
        <f t="shared" si="10"/>
        <v>#N/A</v>
      </c>
      <c r="M95" s="49" t="s">
        <v>4</v>
      </c>
      <c r="N95" s="48" t="e">
        <f t="shared" si="11"/>
        <v>#N/A</v>
      </c>
      <c r="O95" s="49" t="s">
        <v>19</v>
      </c>
      <c r="P95" s="49" t="s">
        <v>150</v>
      </c>
      <c r="Q95" s="50">
        <v>50</v>
      </c>
    </row>
    <row r="96" spans="1:18" s="2" customFormat="1" ht="39.950000000000003" customHeight="1" x14ac:dyDescent="0.25">
      <c r="A96" s="10"/>
      <c r="B96" s="1597" t="s">
        <v>151</v>
      </c>
      <c r="C96" s="1598"/>
      <c r="D96" s="255"/>
      <c r="E96" s="278" t="e">
        <f>K9</f>
        <v>#N/A</v>
      </c>
      <c r="F96" s="250" t="str">
        <f>F12</f>
        <v>°C</v>
      </c>
      <c r="G96" s="48">
        <f>SQRT(3)</f>
        <v>1.7320508075688772</v>
      </c>
      <c r="H96" s="48" t="e">
        <f t="shared" si="12"/>
        <v>#N/A</v>
      </c>
      <c r="I96" s="980" t="s">
        <v>3</v>
      </c>
      <c r="J96" s="258" t="e">
        <f>K64</f>
        <v>#N/A</v>
      </c>
      <c r="K96" s="49" t="s">
        <v>21</v>
      </c>
      <c r="L96" s="48" t="e">
        <f t="shared" si="10"/>
        <v>#N/A</v>
      </c>
      <c r="M96" s="49" t="s">
        <v>4</v>
      </c>
      <c r="N96" s="48" t="e">
        <f t="shared" si="11"/>
        <v>#N/A</v>
      </c>
      <c r="O96" s="49" t="s">
        <v>19</v>
      </c>
      <c r="P96" s="49" t="s">
        <v>5</v>
      </c>
      <c r="Q96" s="50" t="s">
        <v>11</v>
      </c>
      <c r="R96" s="7"/>
    </row>
    <row r="97" spans="1:90" s="2" customFormat="1" ht="39.950000000000003" customHeight="1" x14ac:dyDescent="0.25">
      <c r="A97" s="10"/>
      <c r="B97" s="1597" t="s">
        <v>155</v>
      </c>
      <c r="C97" s="1598"/>
      <c r="D97" s="255"/>
      <c r="E97" s="275">
        <f>(MAX(D40:D42)-(MIN(D40:D42)))</f>
        <v>0</v>
      </c>
      <c r="F97" s="250" t="str">
        <f>F12</f>
        <v>°C</v>
      </c>
      <c r="G97" s="48">
        <f>SQRT(12)</f>
        <v>3.4641016151377544</v>
      </c>
      <c r="H97" s="48">
        <f t="shared" si="12"/>
        <v>0</v>
      </c>
      <c r="I97" s="980" t="s">
        <v>3</v>
      </c>
      <c r="J97" s="258" t="e">
        <f>K64</f>
        <v>#N/A</v>
      </c>
      <c r="K97" s="49" t="s">
        <v>21</v>
      </c>
      <c r="L97" s="48" t="e">
        <f t="shared" si="10"/>
        <v>#N/A</v>
      </c>
      <c r="M97" s="49" t="s">
        <v>4</v>
      </c>
      <c r="N97" s="48" t="e">
        <f t="shared" si="11"/>
        <v>#N/A</v>
      </c>
      <c r="O97" s="49" t="s">
        <v>20</v>
      </c>
      <c r="P97" s="49" t="s">
        <v>5</v>
      </c>
      <c r="Q97" s="50" t="s">
        <v>11</v>
      </c>
      <c r="R97" s="7"/>
    </row>
    <row r="98" spans="1:90" s="2" customFormat="1" ht="39.950000000000003" customHeight="1" x14ac:dyDescent="0.25">
      <c r="A98" s="10"/>
      <c r="B98" s="1597" t="s">
        <v>156</v>
      </c>
      <c r="C98" s="1598"/>
      <c r="D98" s="274">
        <f>M43</f>
        <v>-2.9000000000000001E-2</v>
      </c>
      <c r="E98" s="275">
        <f>M46</f>
        <v>0</v>
      </c>
      <c r="F98" s="250" t="str">
        <f>F12</f>
        <v>°C</v>
      </c>
      <c r="G98" s="253"/>
      <c r="H98" s="253"/>
      <c r="I98" s="898"/>
      <c r="J98" s="276"/>
      <c r="K98" s="253"/>
      <c r="L98" s="253"/>
      <c r="M98" s="253"/>
      <c r="N98" s="253"/>
      <c r="O98" s="253"/>
      <c r="P98" s="253"/>
      <c r="Q98" s="254"/>
      <c r="R98" s="7"/>
    </row>
    <row r="99" spans="1:90" s="2" customFormat="1" ht="39.950000000000003" customHeight="1" x14ac:dyDescent="0.25">
      <c r="A99" s="10"/>
      <c r="B99" s="1597" t="s">
        <v>153</v>
      </c>
      <c r="C99" s="1598"/>
      <c r="D99" s="255" t="e">
        <f>E12</f>
        <v>#N/A</v>
      </c>
      <c r="E99" s="48" t="e">
        <f>E12</f>
        <v>#N/A</v>
      </c>
      <c r="F99" s="49" t="str">
        <f>F12</f>
        <v>°C</v>
      </c>
      <c r="G99" s="48">
        <f>SQRT(12)</f>
        <v>3.4641016151377544</v>
      </c>
      <c r="H99" s="48" t="e">
        <f t="shared" si="12"/>
        <v>#N/A</v>
      </c>
      <c r="I99" s="980" t="s">
        <v>3</v>
      </c>
      <c r="J99" s="251" t="e">
        <f>K66</f>
        <v>#N/A</v>
      </c>
      <c r="K99" s="49" t="s">
        <v>21</v>
      </c>
      <c r="L99" s="48" t="e">
        <f t="shared" si="10"/>
        <v>#N/A</v>
      </c>
      <c r="M99" s="49" t="s">
        <v>4</v>
      </c>
      <c r="N99" s="48" t="e">
        <f t="shared" si="11"/>
        <v>#N/A</v>
      </c>
      <c r="O99" s="49" t="s">
        <v>20</v>
      </c>
      <c r="P99" s="49" t="s">
        <v>5</v>
      </c>
      <c r="Q99" s="50" t="s">
        <v>11</v>
      </c>
      <c r="R99" s="7"/>
    </row>
    <row r="100" spans="1:90" s="47" customFormat="1" ht="39.950000000000003" customHeight="1" x14ac:dyDescent="0.25">
      <c r="B100" s="1597" t="s">
        <v>154</v>
      </c>
      <c r="C100" s="1598"/>
      <c r="D100" s="255"/>
      <c r="E100" s="48" t="e">
        <f>I13</f>
        <v>#N/A</v>
      </c>
      <c r="F100" s="250" t="str">
        <f>F12</f>
        <v>°C</v>
      </c>
      <c r="G100" s="48" t="e">
        <f>O12</f>
        <v>#N/A</v>
      </c>
      <c r="H100" s="48" t="e">
        <f t="shared" si="12"/>
        <v>#N/A</v>
      </c>
      <c r="I100" s="980" t="s">
        <v>3</v>
      </c>
      <c r="J100" s="251" t="e">
        <f>K66</f>
        <v>#N/A</v>
      </c>
      <c r="K100" s="49" t="s">
        <v>21</v>
      </c>
      <c r="L100" s="48" t="e">
        <f>H100*J100</f>
        <v>#N/A</v>
      </c>
      <c r="M100" s="49" t="s">
        <v>4</v>
      </c>
      <c r="N100" s="48" t="e">
        <f>L100^2</f>
        <v>#N/A</v>
      </c>
      <c r="O100" s="49" t="s">
        <v>19</v>
      </c>
      <c r="P100" s="49" t="s">
        <v>150</v>
      </c>
      <c r="Q100" s="50">
        <v>50</v>
      </c>
    </row>
    <row r="101" spans="1:90" s="2" customFormat="1" ht="39.950000000000003" customHeight="1" x14ac:dyDescent="0.25">
      <c r="A101" s="10"/>
      <c r="B101" s="1597" t="s">
        <v>151</v>
      </c>
      <c r="C101" s="1598"/>
      <c r="D101" s="279"/>
      <c r="E101" s="278" t="e">
        <f>K13</f>
        <v>#N/A</v>
      </c>
      <c r="F101" s="250" t="str">
        <f>F12</f>
        <v>°C</v>
      </c>
      <c r="G101" s="48">
        <f>SQRT(3)</f>
        <v>1.7320508075688772</v>
      </c>
      <c r="H101" s="48" t="e">
        <f t="shared" si="12"/>
        <v>#N/A</v>
      </c>
      <c r="I101" s="980" t="s">
        <v>3</v>
      </c>
      <c r="J101" s="251" t="e">
        <f>K66</f>
        <v>#N/A</v>
      </c>
      <c r="K101" s="49" t="s">
        <v>21</v>
      </c>
      <c r="L101" s="48" t="e">
        <f t="shared" si="10"/>
        <v>#N/A</v>
      </c>
      <c r="M101" s="49" t="s">
        <v>4</v>
      </c>
      <c r="N101" s="48" t="e">
        <f t="shared" si="11"/>
        <v>#N/A</v>
      </c>
      <c r="O101" s="49" t="s">
        <v>19</v>
      </c>
      <c r="P101" s="49" t="s">
        <v>5</v>
      </c>
      <c r="Q101" s="50" t="s">
        <v>11</v>
      </c>
      <c r="R101" s="7"/>
    </row>
    <row r="102" spans="1:90" s="2" customFormat="1" ht="39.950000000000003" customHeight="1" x14ac:dyDescent="0.25">
      <c r="A102" s="10"/>
      <c r="B102" s="1597" t="s">
        <v>155</v>
      </c>
      <c r="C102" s="1598"/>
      <c r="D102" s="249"/>
      <c r="E102" s="280">
        <f>(MAX(J40:J42)-(MIN(J40:J42)))</f>
        <v>0</v>
      </c>
      <c r="F102" s="250" t="str">
        <f>F12</f>
        <v>°C</v>
      </c>
      <c r="G102" s="48">
        <f>SQRT(12)</f>
        <v>3.4641016151377544</v>
      </c>
      <c r="H102" s="48">
        <f t="shared" si="12"/>
        <v>0</v>
      </c>
      <c r="I102" s="980" t="s">
        <v>3</v>
      </c>
      <c r="J102" s="251" t="e">
        <f>K66</f>
        <v>#N/A</v>
      </c>
      <c r="K102" s="49" t="s">
        <v>21</v>
      </c>
      <c r="L102" s="48" t="e">
        <f t="shared" si="10"/>
        <v>#N/A</v>
      </c>
      <c r="M102" s="49" t="s">
        <v>4</v>
      </c>
      <c r="N102" s="48" t="e">
        <f t="shared" si="11"/>
        <v>#N/A</v>
      </c>
      <c r="O102" s="49" t="s">
        <v>20</v>
      </c>
      <c r="P102" s="49" t="s">
        <v>5</v>
      </c>
      <c r="Q102" s="50" t="s">
        <v>11</v>
      </c>
      <c r="R102" s="7"/>
    </row>
    <row r="103" spans="1:90" s="2" customFormat="1" ht="39.950000000000003" customHeight="1" x14ac:dyDescent="0.25">
      <c r="A103" s="10"/>
      <c r="B103" s="1597" t="s">
        <v>241</v>
      </c>
      <c r="C103" s="1598"/>
      <c r="D103" s="281">
        <f>D33</f>
        <v>-6.2863206736149993E-5</v>
      </c>
      <c r="E103" s="282">
        <f>D33</f>
        <v>-6.2863206736149993E-5</v>
      </c>
      <c r="F103" s="49" t="s">
        <v>10</v>
      </c>
      <c r="G103" s="253"/>
      <c r="H103" s="253"/>
      <c r="I103" s="903"/>
      <c r="J103" s="276"/>
      <c r="K103" s="253"/>
      <c r="L103" s="253"/>
      <c r="M103" s="253"/>
      <c r="N103" s="253"/>
      <c r="O103" s="253"/>
      <c r="P103" s="253"/>
      <c r="Q103" s="254"/>
      <c r="R103" s="7"/>
    </row>
    <row r="104" spans="1:90" s="47" customFormat="1" ht="39.950000000000003" customHeight="1" x14ac:dyDescent="0.25">
      <c r="A104" s="10"/>
      <c r="B104" s="1597" t="s">
        <v>157</v>
      </c>
      <c r="C104" s="1598"/>
      <c r="D104" s="249"/>
      <c r="E104" s="48">
        <f>(D33*5)/100</f>
        <v>-3.1431603368074993E-6</v>
      </c>
      <c r="F104" s="49" t="s">
        <v>10</v>
      </c>
      <c r="G104" s="48">
        <f>SQRT(3)</f>
        <v>1.7320508075688772</v>
      </c>
      <c r="H104" s="48">
        <f t="shared" si="12"/>
        <v>-1.8147044665619647E-6</v>
      </c>
      <c r="I104" s="981" t="s">
        <v>485</v>
      </c>
      <c r="J104" s="251" t="e">
        <f>K72</f>
        <v>#N/A</v>
      </c>
      <c r="K104" s="982" t="s">
        <v>487</v>
      </c>
      <c r="L104" s="48" t="e">
        <f t="shared" si="10"/>
        <v>#N/A</v>
      </c>
      <c r="M104" s="49" t="s">
        <v>4</v>
      </c>
      <c r="N104" s="48" t="e">
        <f t="shared" si="11"/>
        <v>#N/A</v>
      </c>
      <c r="O104" s="49" t="s">
        <v>158</v>
      </c>
      <c r="P104" s="49" t="s">
        <v>5</v>
      </c>
      <c r="Q104" s="50" t="s">
        <v>11</v>
      </c>
      <c r="S104" s="2"/>
    </row>
    <row r="105" spans="1:90" s="55" customFormat="1" ht="39.950000000000003" customHeight="1" x14ac:dyDescent="0.25">
      <c r="A105" s="10"/>
      <c r="B105" s="1597" t="s">
        <v>159</v>
      </c>
      <c r="C105" s="1598"/>
      <c r="D105" s="283" t="s">
        <v>1</v>
      </c>
      <c r="E105" s="282" t="e">
        <f>(D29*5)/100</f>
        <v>#N/A</v>
      </c>
      <c r="F105" s="49" t="s">
        <v>10</v>
      </c>
      <c r="G105" s="48">
        <f>SQRT(3)</f>
        <v>1.7320508075688772</v>
      </c>
      <c r="H105" s="48" t="e">
        <f t="shared" si="12"/>
        <v>#N/A</v>
      </c>
      <c r="I105" s="981" t="s">
        <v>485</v>
      </c>
      <c r="J105" s="275" t="e">
        <f>K68</f>
        <v>#N/A</v>
      </c>
      <c r="K105" s="982" t="s">
        <v>487</v>
      </c>
      <c r="L105" s="48" t="e">
        <f t="shared" si="10"/>
        <v>#N/A</v>
      </c>
      <c r="M105" s="49" t="s">
        <v>4</v>
      </c>
      <c r="N105" s="48" t="e">
        <f t="shared" si="11"/>
        <v>#N/A</v>
      </c>
      <c r="O105" s="49" t="s">
        <v>160</v>
      </c>
      <c r="P105" s="49" t="s">
        <v>5</v>
      </c>
      <c r="Q105" s="50" t="s">
        <v>11</v>
      </c>
      <c r="R105" s="54"/>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row>
    <row r="106" spans="1:90" s="47" customFormat="1" ht="39.950000000000003" customHeight="1" x14ac:dyDescent="0.25">
      <c r="B106" s="1597" t="s">
        <v>161</v>
      </c>
      <c r="C106" s="1598"/>
      <c r="D106" s="283" t="s">
        <v>0</v>
      </c>
      <c r="E106" s="282" t="e">
        <f>(F29*5)/100</f>
        <v>#N/A</v>
      </c>
      <c r="F106" s="49" t="s">
        <v>10</v>
      </c>
      <c r="G106" s="48">
        <f>SQRT(3)</f>
        <v>1.7320508075688772</v>
      </c>
      <c r="H106" s="48" t="e">
        <f t="shared" si="12"/>
        <v>#N/A</v>
      </c>
      <c r="I106" s="981" t="s">
        <v>485</v>
      </c>
      <c r="J106" s="275" t="e">
        <f>K70</f>
        <v>#N/A</v>
      </c>
      <c r="K106" s="982" t="s">
        <v>487</v>
      </c>
      <c r="L106" s="48" t="e">
        <f t="shared" si="10"/>
        <v>#N/A</v>
      </c>
      <c r="M106" s="49" t="s">
        <v>4</v>
      </c>
      <c r="N106" s="48" t="e">
        <f t="shared" si="11"/>
        <v>#N/A</v>
      </c>
      <c r="O106" s="49" t="s">
        <v>162</v>
      </c>
      <c r="P106" s="49" t="s">
        <v>5</v>
      </c>
      <c r="Q106" s="50" t="s">
        <v>11</v>
      </c>
    </row>
    <row r="107" spans="1:90" s="2" customFormat="1" ht="39.950000000000003" customHeight="1" thickBot="1" x14ac:dyDescent="0.3">
      <c r="A107" s="7"/>
      <c r="B107" s="1597" t="s">
        <v>161</v>
      </c>
      <c r="C107" s="1598"/>
      <c r="D107" s="348" t="s">
        <v>33</v>
      </c>
      <c r="E107" s="349">
        <f>((0.0000099*0.075)/(SQRT(12)))</f>
        <v>2.1434128743664856E-7</v>
      </c>
      <c r="F107" s="51" t="s">
        <v>10</v>
      </c>
      <c r="G107" s="52">
        <f>SQRT(3)</f>
        <v>1.7320508075688772</v>
      </c>
      <c r="H107" s="350">
        <f t="shared" si="12"/>
        <v>1.2375000000000001E-7</v>
      </c>
      <c r="I107" s="981" t="s">
        <v>485</v>
      </c>
      <c r="J107" s="351" t="e">
        <f>D32</f>
        <v>#N/A</v>
      </c>
      <c r="K107" s="982" t="s">
        <v>487</v>
      </c>
      <c r="L107" s="352" t="e">
        <f t="shared" si="10"/>
        <v>#N/A</v>
      </c>
      <c r="M107" s="51" t="s">
        <v>4</v>
      </c>
      <c r="N107" s="353" t="e">
        <f t="shared" si="11"/>
        <v>#N/A</v>
      </c>
      <c r="O107" s="51" t="s">
        <v>162</v>
      </c>
      <c r="P107" s="51" t="s">
        <v>5</v>
      </c>
      <c r="Q107" s="53" t="s">
        <v>11</v>
      </c>
    </row>
    <row r="108" spans="1:90" s="2" customFormat="1" ht="30" customHeight="1" thickBot="1" x14ac:dyDescent="0.3">
      <c r="A108" s="31"/>
      <c r="R108" s="7"/>
    </row>
    <row r="109" spans="1:90" s="2" customFormat="1" ht="30" customHeight="1" thickBot="1" x14ac:dyDescent="0.3">
      <c r="A109" s="31"/>
      <c r="B109" s="1606" t="s">
        <v>163</v>
      </c>
      <c r="C109" s="1607"/>
      <c r="D109" s="1607"/>
      <c r="E109" s="1607"/>
      <c r="F109" s="1607"/>
      <c r="G109" s="1607"/>
      <c r="H109" s="1607"/>
      <c r="I109" s="1607"/>
      <c r="J109" s="1607"/>
      <c r="K109" s="1607"/>
      <c r="L109" s="1607"/>
      <c r="M109" s="1607"/>
      <c r="N109" s="1607"/>
      <c r="O109" s="1607"/>
      <c r="P109" s="1607"/>
      <c r="Q109" s="1608"/>
      <c r="R109" s="7"/>
    </row>
    <row r="110" spans="1:90" s="2" customFormat="1" ht="30" customHeight="1" x14ac:dyDescent="0.25">
      <c r="A110" s="10"/>
      <c r="B110" s="1604" t="s">
        <v>164</v>
      </c>
      <c r="C110" s="1605"/>
      <c r="D110" s="69"/>
      <c r="E110" s="56" t="e">
        <f>(3.1416*(D30)^2/4)*D31</f>
        <v>#N/A</v>
      </c>
      <c r="F110" s="57" t="s">
        <v>4</v>
      </c>
      <c r="G110" s="56">
        <f>SQRT(3)</f>
        <v>1.7320508075688772</v>
      </c>
      <c r="H110" s="56" t="e">
        <f>E110/G110</f>
        <v>#N/A</v>
      </c>
      <c r="I110" s="57" t="s">
        <v>4</v>
      </c>
      <c r="J110" s="56">
        <v>1</v>
      </c>
      <c r="K110" s="57"/>
      <c r="L110" s="56" t="e">
        <f>H110*J110</f>
        <v>#N/A</v>
      </c>
      <c r="M110" s="57" t="s">
        <v>4</v>
      </c>
      <c r="N110" s="56" t="e">
        <f>L110^2</f>
        <v>#N/A</v>
      </c>
      <c r="O110" s="57" t="s">
        <v>18</v>
      </c>
      <c r="P110" s="57" t="s">
        <v>5</v>
      </c>
      <c r="Q110" s="58" t="s">
        <v>11</v>
      </c>
      <c r="R110" s="7"/>
    </row>
    <row r="111" spans="1:90" s="2" customFormat="1" ht="30" customHeight="1" x14ac:dyDescent="0.25">
      <c r="B111" s="1405" t="s">
        <v>165</v>
      </c>
      <c r="C111" s="1406"/>
      <c r="D111" s="67"/>
      <c r="E111" s="983" t="e">
        <f>((3.1416*(F30)^2)/4)*F31</f>
        <v>#N/A</v>
      </c>
      <c r="F111" s="49" t="s">
        <v>4</v>
      </c>
      <c r="G111" s="48">
        <f>SQRT(3)</f>
        <v>1.7320508075688772</v>
      </c>
      <c r="H111" s="48" t="e">
        <f>E111/G111</f>
        <v>#N/A</v>
      </c>
      <c r="I111" s="49" t="s">
        <v>4</v>
      </c>
      <c r="J111" s="48">
        <v>1</v>
      </c>
      <c r="K111" s="49"/>
      <c r="L111" s="48" t="e">
        <f>H111*J111</f>
        <v>#N/A</v>
      </c>
      <c r="M111" s="49" t="s">
        <v>4</v>
      </c>
      <c r="N111" s="48" t="e">
        <f>L111^2</f>
        <v>#N/A</v>
      </c>
      <c r="O111" s="49" t="s">
        <v>18</v>
      </c>
      <c r="P111" s="49" t="s">
        <v>5</v>
      </c>
      <c r="Q111" s="50" t="s">
        <v>11</v>
      </c>
      <c r="R111" s="7"/>
    </row>
    <row r="112" spans="1:90" s="6" customFormat="1" ht="39.950000000000003" customHeight="1" x14ac:dyDescent="0.25">
      <c r="A112" s="4"/>
      <c r="B112" s="1405" t="s">
        <v>166</v>
      </c>
      <c r="C112" s="1406"/>
      <c r="D112" s="67"/>
      <c r="E112" s="285" t="e">
        <f>H55</f>
        <v>#N/A</v>
      </c>
      <c r="F112" s="49" t="s">
        <v>4</v>
      </c>
      <c r="G112" s="280">
        <f>SQRT(5)</f>
        <v>2.2360679774997898</v>
      </c>
      <c r="H112" s="251" t="e">
        <f>E112/G112</f>
        <v>#N/A</v>
      </c>
      <c r="I112" s="49" t="s">
        <v>4</v>
      </c>
      <c r="J112" s="72">
        <v>1</v>
      </c>
      <c r="K112" s="49"/>
      <c r="L112" s="48" t="e">
        <f>H112*J112</f>
        <v>#N/A</v>
      </c>
      <c r="M112" s="49" t="s">
        <v>4</v>
      </c>
      <c r="N112" s="275" t="e">
        <f>L112^2</f>
        <v>#N/A</v>
      </c>
      <c r="O112" s="49" t="s">
        <v>6</v>
      </c>
      <c r="P112" s="49" t="s">
        <v>150</v>
      </c>
      <c r="Q112" s="50">
        <f>B42-1</f>
        <v>2</v>
      </c>
    </row>
    <row r="113" spans="1:31" s="9" customFormat="1" ht="30" customHeight="1" thickBot="1" x14ac:dyDescent="0.3">
      <c r="A113" s="92" t="s">
        <v>167</v>
      </c>
      <c r="B113" s="1602" t="s">
        <v>168</v>
      </c>
      <c r="C113" s="1603"/>
      <c r="D113" s="68"/>
      <c r="E113" s="984" t="e">
        <f>O62/10000</f>
        <v>#N/A</v>
      </c>
      <c r="F113" s="51" t="s">
        <v>4</v>
      </c>
      <c r="G113" s="984">
        <f>SQRT(3)</f>
        <v>1.7320508075688772</v>
      </c>
      <c r="H113" s="52" t="e">
        <f>E113/G113</f>
        <v>#N/A</v>
      </c>
      <c r="I113" s="51" t="s">
        <v>4</v>
      </c>
      <c r="J113" s="52">
        <v>1</v>
      </c>
      <c r="K113" s="51"/>
      <c r="L113" s="52" t="e">
        <f>H113*J113</f>
        <v>#N/A</v>
      </c>
      <c r="M113" s="51" t="s">
        <v>4</v>
      </c>
      <c r="N113" s="275" t="e">
        <f>L113^2</f>
        <v>#N/A</v>
      </c>
      <c r="O113" s="51" t="s">
        <v>169</v>
      </c>
      <c r="P113" s="51" t="s">
        <v>5</v>
      </c>
      <c r="Q113" s="53" t="s">
        <v>11</v>
      </c>
      <c r="R113" s="60"/>
    </row>
    <row r="114" spans="1:31" s="9" customFormat="1" ht="45.75" customHeight="1" thickBot="1" x14ac:dyDescent="0.3">
      <c r="A114" s="10"/>
      <c r="L114" s="84"/>
      <c r="M114" s="85"/>
      <c r="N114" s="595" t="e">
        <f>SQRT(SUM(N85:N86,N89:N91,N94:N97,N99:N102,N104:N106,N107,N110,N111,N112,N113,))</f>
        <v>#N/A</v>
      </c>
      <c r="R114" s="60"/>
      <c r="U114" s="59"/>
      <c r="V114" s="59"/>
      <c r="W114" s="59"/>
    </row>
    <row r="115" spans="1:31" s="9" customFormat="1" ht="41.25" customHeight="1" thickBot="1" x14ac:dyDescent="0.3">
      <c r="A115" s="10"/>
      <c r="B115" s="1400" t="s">
        <v>171</v>
      </c>
      <c r="C115" s="1401"/>
      <c r="D115" s="1401"/>
      <c r="E115" s="1401"/>
      <c r="F115" s="1401"/>
      <c r="G115" s="1401"/>
      <c r="H115" s="1401"/>
      <c r="I115" s="1401"/>
      <c r="J115" s="1402"/>
      <c r="K115" s="10"/>
      <c r="L115" s="1403" t="s">
        <v>170</v>
      </c>
      <c r="M115" s="1601"/>
      <c r="N115" s="596" t="e">
        <f>E118*N114</f>
        <v>#N/A</v>
      </c>
      <c r="O115" s="10"/>
      <c r="P115" s="10"/>
      <c r="Q115" s="10"/>
      <c r="R115" s="60"/>
      <c r="U115" s="59"/>
      <c r="V115" s="59"/>
      <c r="W115" s="59"/>
    </row>
    <row r="116" spans="1:31" s="2" customFormat="1" ht="34.5" customHeight="1" thickBot="1" x14ac:dyDescent="0.3">
      <c r="A116" s="7"/>
      <c r="B116" s="291"/>
      <c r="C116" s="553" t="s">
        <v>172</v>
      </c>
      <c r="D116" s="560" t="s">
        <v>173</v>
      </c>
      <c r="E116" s="560" t="s">
        <v>141</v>
      </c>
      <c r="F116" s="560" t="s">
        <v>7</v>
      </c>
      <c r="G116" s="560" t="s">
        <v>547</v>
      </c>
      <c r="H116" s="560" t="s">
        <v>8</v>
      </c>
      <c r="I116" s="560" t="s">
        <v>174</v>
      </c>
      <c r="J116" s="561" t="s">
        <v>175</v>
      </c>
      <c r="K116" s="61"/>
      <c r="L116" s="1599" t="s">
        <v>17</v>
      </c>
      <c r="M116" s="1600"/>
      <c r="N116" s="594" t="e">
        <f>(N114^4)/((L85^4/Q85)+(L95^4/Q95)+(L100^4/Q100)+(L89^4/Q89)+(L112^4/Q112))</f>
        <v>#N/A</v>
      </c>
      <c r="O116" s="10"/>
      <c r="P116" s="10"/>
      <c r="Q116" s="7"/>
      <c r="R116" s="10"/>
    </row>
    <row r="117" spans="1:31" s="2" customFormat="1" ht="30" customHeight="1" thickBot="1" x14ac:dyDescent="0.3">
      <c r="A117" s="7"/>
      <c r="B117" s="563" t="s">
        <v>4</v>
      </c>
      <c r="C117" s="888" t="e">
        <f>H54</f>
        <v>#N/A</v>
      </c>
      <c r="D117" s="889" t="e">
        <f>N114</f>
        <v>#N/A</v>
      </c>
      <c r="E117" s="967"/>
      <c r="F117" s="889" t="e">
        <f>(D117*E118)</f>
        <v>#N/A</v>
      </c>
      <c r="G117" s="968"/>
      <c r="H117" s="889" t="e">
        <f>C117-C7</f>
        <v>#N/A</v>
      </c>
      <c r="I117" s="889" t="e">
        <f>ABS(H117)</f>
        <v>#N/A</v>
      </c>
      <c r="J117" s="1000" t="e">
        <f>F117*I117</f>
        <v>#N/A</v>
      </c>
      <c r="K117" s="62"/>
      <c r="O117" s="7"/>
      <c r="P117" s="7"/>
      <c r="Q117" s="7"/>
      <c r="R117" s="10"/>
    </row>
    <row r="118" spans="1:31" s="2" customFormat="1" ht="30" customHeight="1" thickBot="1" x14ac:dyDescent="0.3">
      <c r="A118" s="7"/>
      <c r="B118" s="544" t="s">
        <v>176</v>
      </c>
      <c r="C118" s="562" t="e">
        <f>C117/L26</f>
        <v>#N/A</v>
      </c>
      <c r="D118" s="971" t="e">
        <f>D117/L26</f>
        <v>#N/A</v>
      </c>
      <c r="E118" s="969">
        <v>2</v>
      </c>
      <c r="F118" s="973" t="e">
        <f>D118*E118</f>
        <v>#N/A</v>
      </c>
      <c r="G118" s="985">
        <v>95.45</v>
      </c>
      <c r="H118" s="562" t="e">
        <f>H117/L26</f>
        <v>#N/A</v>
      </c>
      <c r="I118" s="604" t="e">
        <f>ABS(H118)</f>
        <v>#N/A</v>
      </c>
      <c r="J118" s="605" t="e">
        <f>F118*I118</f>
        <v>#N/A</v>
      </c>
      <c r="K118" s="7"/>
      <c r="M118" s="1398" t="s">
        <v>141</v>
      </c>
      <c r="N118" s="1399"/>
      <c r="O118" s="7"/>
      <c r="P118" s="7"/>
      <c r="Q118" s="63"/>
      <c r="R118" s="63"/>
    </row>
    <row r="119" spans="1:31" s="10" customFormat="1" ht="36.75" customHeight="1" thickBot="1" x14ac:dyDescent="0.3">
      <c r="B119" s="564" t="s">
        <v>9</v>
      </c>
      <c r="C119" s="890" t="e">
        <f>C118/L23</f>
        <v>#N/A</v>
      </c>
      <c r="D119" s="891" t="e">
        <f>D118/L23</f>
        <v>#N/A</v>
      </c>
      <c r="E119" s="972"/>
      <c r="F119" s="892" t="e">
        <f>D119*E118</f>
        <v>#N/A</v>
      </c>
      <c r="G119" s="974"/>
      <c r="H119" s="892" t="e">
        <f>H118/L23</f>
        <v>#N/A</v>
      </c>
      <c r="I119" s="892" t="e">
        <f>ABS(H119)</f>
        <v>#N/A</v>
      </c>
      <c r="J119" s="893" t="e">
        <f>F119*I119</f>
        <v>#N/A</v>
      </c>
      <c r="M119" s="90" t="e">
        <f>_xlfn.T.INV.2T(0.05,N116)</f>
        <v>#N/A</v>
      </c>
      <c r="N119" s="295" t="e">
        <f>TINV(0.05,N116)</f>
        <v>#N/A</v>
      </c>
      <c r="Q119" s="63"/>
      <c r="R119" s="63"/>
      <c r="S119" s="63"/>
      <c r="T119" s="63"/>
      <c r="U119" s="63"/>
      <c r="V119" s="63"/>
      <c r="W119" s="63"/>
      <c r="X119" s="63"/>
      <c r="Y119" s="63"/>
      <c r="Z119" s="63"/>
      <c r="AA119" s="63"/>
    </row>
    <row r="120" spans="1:31" s="2" customFormat="1" ht="42" customHeight="1" x14ac:dyDescent="0.25">
      <c r="A120" s="7"/>
      <c r="B120" s="7"/>
      <c r="C120" s="7"/>
      <c r="D120" s="7"/>
      <c r="E120" s="7"/>
      <c r="F120" s="7"/>
      <c r="G120" s="7"/>
      <c r="H120" s="7"/>
      <c r="I120" s="7"/>
      <c r="J120" s="7"/>
      <c r="K120" s="7"/>
      <c r="L120" s="7"/>
      <c r="M120" s="7"/>
      <c r="N120" s="7"/>
      <c r="O120" s="7"/>
      <c r="P120" s="7"/>
      <c r="Q120" s="10"/>
      <c r="R120" s="10"/>
      <c r="S120" s="10"/>
      <c r="T120" s="9"/>
      <c r="U120" s="9"/>
      <c r="V120" s="9"/>
      <c r="W120" s="9"/>
      <c r="X120" s="9"/>
      <c r="Y120" s="9"/>
      <c r="Z120" s="9"/>
      <c r="AA120" s="9"/>
      <c r="AB120" s="9"/>
      <c r="AC120" s="9"/>
      <c r="AD120" s="9"/>
      <c r="AE120" s="9"/>
    </row>
    <row r="121" spans="1:31" s="2" customFormat="1" ht="30" customHeight="1" x14ac:dyDescent="0.25">
      <c r="C121" s="599"/>
      <c r="D121" s="600"/>
      <c r="E121" s="598"/>
      <c r="K121" s="10"/>
      <c r="L121" s="10"/>
      <c r="O121" s="10"/>
      <c r="P121" s="10"/>
    </row>
  </sheetData>
  <sheetProtection algorithmName="SHA-512" hashValue="ESM4T4OjUX5PapNqcAZC2WlTNIaFNULwneam/xI0cwgfRtQZNEhmK26N2E5BTqOF/6X75IdKpKC26B5Hu7v4NQ==" saltValue="LNISR3m4+fxHmn0nx4Rw6w==" spinCount="100000" sheet="1" objects="1" scenarios="1"/>
  <mergeCells count="115">
    <mergeCell ref="B109:Q109"/>
    <mergeCell ref="O15:O16"/>
    <mergeCell ref="P15:P16"/>
    <mergeCell ref="P21:P22"/>
    <mergeCell ref="Q21:Q22"/>
    <mergeCell ref="Q6:R6"/>
    <mergeCell ref="B104:C104"/>
    <mergeCell ref="B85:C85"/>
    <mergeCell ref="E50:F50"/>
    <mergeCell ref="E54:G54"/>
    <mergeCell ref="B80:F80"/>
    <mergeCell ref="B82:Q82"/>
    <mergeCell ref="B83:C83"/>
    <mergeCell ref="B88:C88"/>
    <mergeCell ref="F15:F16"/>
    <mergeCell ref="D15:D16"/>
    <mergeCell ref="N15:N16"/>
    <mergeCell ref="B15:B16"/>
    <mergeCell ref="C15:C16"/>
    <mergeCell ref="E15:E16"/>
    <mergeCell ref="G15:G16"/>
    <mergeCell ref="I15:I16"/>
    <mergeCell ref="K15:K16"/>
    <mergeCell ref="B89:C89"/>
    <mergeCell ref="M118:N118"/>
    <mergeCell ref="B96:C96"/>
    <mergeCell ref="B97:C97"/>
    <mergeCell ref="B98:C98"/>
    <mergeCell ref="B99:C99"/>
    <mergeCell ref="B100:C100"/>
    <mergeCell ref="B101:C101"/>
    <mergeCell ref="B90:C90"/>
    <mergeCell ref="B91:C91"/>
    <mergeCell ref="B93:C93"/>
    <mergeCell ref="B94:C94"/>
    <mergeCell ref="B95:C95"/>
    <mergeCell ref="B105:C105"/>
    <mergeCell ref="B106:C106"/>
    <mergeCell ref="B107:C107"/>
    <mergeCell ref="L116:M116"/>
    <mergeCell ref="L115:M115"/>
    <mergeCell ref="B112:C112"/>
    <mergeCell ref="B113:C113"/>
    <mergeCell ref="B115:J115"/>
    <mergeCell ref="B102:C102"/>
    <mergeCell ref="B103:C103"/>
    <mergeCell ref="B110:C110"/>
    <mergeCell ref="B111:C111"/>
    <mergeCell ref="E53:F53"/>
    <mergeCell ref="E55:G55"/>
    <mergeCell ref="E56:G56"/>
    <mergeCell ref="B70:F70"/>
    <mergeCell ref="D43:F43"/>
    <mergeCell ref="B60:L60"/>
    <mergeCell ref="B62:D62"/>
    <mergeCell ref="B64:E64"/>
    <mergeCell ref="B66:E66"/>
    <mergeCell ref="A86:A87"/>
    <mergeCell ref="B86:C86"/>
    <mergeCell ref="B87:C87"/>
    <mergeCell ref="E49:L49"/>
    <mergeCell ref="B35:C35"/>
    <mergeCell ref="P37:S37"/>
    <mergeCell ref="B72:F72"/>
    <mergeCell ref="B74:D74"/>
    <mergeCell ref="B76:D76"/>
    <mergeCell ref="B78:D78"/>
    <mergeCell ref="C37:N37"/>
    <mergeCell ref="C38:G38"/>
    <mergeCell ref="I38:N38"/>
    <mergeCell ref="D35:G35"/>
    <mergeCell ref="B68:F68"/>
    <mergeCell ref="J43:L43"/>
    <mergeCell ref="I35:J35"/>
    <mergeCell ref="O52:O53"/>
    <mergeCell ref="O50:O51"/>
    <mergeCell ref="L35:M35"/>
    <mergeCell ref="P38:S44"/>
    <mergeCell ref="B84:C84"/>
    <mergeCell ref="E51:F51"/>
    <mergeCell ref="E52:F52"/>
    <mergeCell ref="M21:M22"/>
    <mergeCell ref="O21:O22"/>
    <mergeCell ref="I34:J34"/>
    <mergeCell ref="I33:J33"/>
    <mergeCell ref="N29:O29"/>
    <mergeCell ref="I31:P31"/>
    <mergeCell ref="I32:K32"/>
    <mergeCell ref="L32:N32"/>
    <mergeCell ref="L33:M33"/>
    <mergeCell ref="L34:M34"/>
    <mergeCell ref="R21:R22"/>
    <mergeCell ref="I20:R20"/>
    <mergeCell ref="B20:G20"/>
    <mergeCell ref="P29:Q29"/>
    <mergeCell ref="S15:S16"/>
    <mergeCell ref="L15:L16"/>
    <mergeCell ref="H15:H16"/>
    <mergeCell ref="J15:J16"/>
    <mergeCell ref="A1:B1"/>
    <mergeCell ref="D1:R1"/>
    <mergeCell ref="D3:E3"/>
    <mergeCell ref="G3:H3"/>
    <mergeCell ref="J3:K3"/>
    <mergeCell ref="M3:N3"/>
    <mergeCell ref="P3:R3"/>
    <mergeCell ref="A8:A10"/>
    <mergeCell ref="A11:A13"/>
    <mergeCell ref="A5:R5"/>
    <mergeCell ref="I29:J29"/>
    <mergeCell ref="K29:L29"/>
    <mergeCell ref="I21:I22"/>
    <mergeCell ref="J21:J22"/>
    <mergeCell ref="K21:K22"/>
    <mergeCell ref="L21:L22"/>
  </mergeCells>
  <pageMargins left="0.70866141732283472" right="0.70866141732283472" top="0.74803149606299213" bottom="0.74803149606299213" header="0.31496062992125984" footer="0.31496062992125984"/>
  <pageSetup scale="26" orientation="portrait" horizontalDpi="4294967293" r:id="rId1"/>
  <headerFooter>
    <oddFooter>&amp;RRT03-F11 Vr.4(2018-07-26)</oddFooter>
  </headerFooter>
  <rowBreaks count="1" manualBreakCount="1">
    <brk id="56" max="24" man="1"/>
  </rowBreaks>
  <ignoredErrors>
    <ignoredError sqref="Q51 Q53" unlockedFormula="1"/>
  </ignoredError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DATOS!$C$30:$C$32</xm:f>
          </x14:formula1>
          <xm:sqref>S7</xm:sqref>
        </x14:dataValidation>
        <x14:dataValidation type="list" allowBlank="1" showInputMessage="1" showErrorMessage="1">
          <x14:formula1>
            <xm:f>DATOS!$C$41:$C$44</xm:f>
          </x14:formula1>
          <xm:sqref>S8:S10</xm:sqref>
        </x14:dataValidation>
        <x14:dataValidation type="list" allowBlank="1" showInputMessage="1" showErrorMessage="1">
          <x14:formula1>
            <xm:f>DATOS!$C$107:$C$112</xm:f>
          </x14:formula1>
          <xm:sqref>S14</xm:sqref>
        </x14:dataValidation>
        <x14:dataValidation type="list" allowBlank="1" showInputMessage="1" showErrorMessage="1">
          <x14:formula1>
            <xm:f>DATOS!$C$116:$C$122</xm:f>
          </x14:formula1>
          <xm:sqref>S15:S16</xm:sqref>
        </x14:dataValidation>
        <x14:dataValidation type="list" allowBlank="1" showInputMessage="1" showErrorMessage="1">
          <x14:formula1>
            <xm:f>DATOS!$C$126:$C$127</xm:f>
          </x14:formula1>
          <xm:sqref>S17</xm:sqref>
        </x14:dataValidation>
        <x14:dataValidation type="list" allowBlank="1" showInputMessage="1" showErrorMessage="1">
          <x14:formula1>
            <xm:f>DATOS!$C$132:$C$147</xm:f>
          </x14:formula1>
          <xm:sqref>S18</xm:sqref>
        </x14:dataValidation>
        <x14:dataValidation type="list" allowBlank="1" showInputMessage="1" showErrorMessage="1">
          <x14:formula1>
            <xm:f>DATOS!$C$37:$C$40</xm:f>
          </x14:formula1>
          <xm:sqref>S11:S13</xm:sqref>
        </x14:dataValidation>
        <x14:dataValidation type="list" allowBlank="1" showInputMessage="1" showErrorMessage="1">
          <x14:formula1>
            <xm:f>DATOS!$B$24:$B$26</xm:f>
          </x14:formula1>
          <xm:sqref>A22</xm:sqref>
        </x14:dataValidation>
        <x14:dataValidation type="list" allowBlank="1" showInputMessage="1" showErrorMessage="1">
          <x14:formula1>
            <xm:f>DATOS!$D$7:$D$9</xm:f>
          </x14:formula1>
          <xm:sqref>S3</xm:sqref>
        </x14:dataValidation>
        <x14:dataValidation type="list" allowBlank="1" showInputMessage="1" showErrorMessage="1">
          <x14:formula1>
            <xm:f>DATOS!$B$14:$B$16</xm:f>
          </x14:formula1>
          <xm:sqref>H22</xm:sqref>
        </x14:dataValidation>
        <x14:dataValidation type="list" allowBlank="1" showInputMessage="1" showErrorMessage="1">
          <x14:formula1>
            <xm:f>DATOS!$O$5:$O$9</xm:f>
          </x14:formula1>
          <xm:sqref>H35</xm:sqref>
        </x14:dataValidation>
        <x14:dataValidation type="list" allowBlank="1" showInputMessage="1" showErrorMessage="1">
          <x14:formula1>
            <xm:f>DATOS!$C$50:$C$103</xm:f>
          </x14:formula1>
          <xm:sqref>Q32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1"/>
  <sheetViews>
    <sheetView showGridLines="0" view="pageBreakPreview" zoomScale="80" zoomScaleNormal="25" zoomScaleSheetLayoutView="80" zoomScalePageLayoutView="10" workbookViewId="0">
      <selection activeCell="G50" sqref="G50"/>
    </sheetView>
  </sheetViews>
  <sheetFormatPr baseColWidth="10" defaultColWidth="15.7109375" defaultRowHeight="15" x14ac:dyDescent="0.2"/>
  <cols>
    <col min="1" max="16384" width="15.7109375" style="109"/>
  </cols>
  <sheetData>
    <row r="1" spans="1:29" s="366" customFormat="1" ht="75" customHeight="1" thickBot="1" x14ac:dyDescent="0.3">
      <c r="A1" s="1615"/>
      <c r="B1" s="1616"/>
      <c r="C1" s="364"/>
      <c r="D1" s="1626" t="s">
        <v>484</v>
      </c>
      <c r="E1" s="1627"/>
      <c r="F1" s="1627"/>
      <c r="G1" s="1627"/>
      <c r="H1" s="1627"/>
      <c r="I1" s="1627"/>
      <c r="J1" s="1627"/>
      <c r="K1" s="1627"/>
      <c r="L1" s="1627"/>
      <c r="M1" s="1627"/>
      <c r="N1" s="1627"/>
      <c r="O1" s="1627"/>
      <c r="P1" s="1627"/>
      <c r="Q1" s="1627"/>
      <c r="R1" s="1627"/>
      <c r="S1" s="1627"/>
      <c r="T1" s="1627"/>
      <c r="U1" s="1627"/>
      <c r="V1" s="1627"/>
      <c r="W1" s="365"/>
    </row>
    <row r="2" spans="1:29" s="370" customFormat="1" ht="5.0999999999999996" customHeight="1" thickBot="1" x14ac:dyDescent="0.3">
      <c r="A2" s="367"/>
      <c r="B2" s="367"/>
      <c r="C2" s="368"/>
      <c r="D2" s="369"/>
      <c r="E2" s="369"/>
      <c r="F2" s="369"/>
      <c r="G2" s="369"/>
      <c r="H2" s="369"/>
      <c r="I2" s="369"/>
      <c r="J2" s="369"/>
      <c r="K2" s="369"/>
      <c r="L2" s="369"/>
      <c r="M2" s="369"/>
      <c r="N2" s="369"/>
      <c r="O2" s="369"/>
      <c r="P2" s="369"/>
      <c r="Q2" s="369"/>
      <c r="R2" s="369"/>
    </row>
    <row r="3" spans="1:29" s="370" customFormat="1" ht="39.950000000000003" customHeight="1" thickBot="1" x14ac:dyDescent="0.3">
      <c r="A3" s="86" t="s">
        <v>67</v>
      </c>
      <c r="B3" s="315" t="e">
        <f>VLOOKUP(S3,DATOS!D7:N19,2,FALSE)</f>
        <v>#N/A</v>
      </c>
      <c r="C3" s="87" t="s">
        <v>249</v>
      </c>
      <c r="D3" s="1620" t="e">
        <f>VLOOKUP(S3,DATOS!D7:N19,3,FALSE)</f>
        <v>#N/A</v>
      </c>
      <c r="E3" s="1620"/>
      <c r="F3" s="88" t="s">
        <v>251</v>
      </c>
      <c r="G3" s="1561" t="e">
        <f>VLOOKUP(S3,DATOS!D7:N19,7,FALSE)</f>
        <v>#N/A</v>
      </c>
      <c r="H3" s="1561"/>
      <c r="I3" s="88" t="s">
        <v>250</v>
      </c>
      <c r="J3" s="1562" t="e">
        <f>VLOOKUP(S3,DATOS!D7:N19,4,FALSE)</f>
        <v>#N/A</v>
      </c>
      <c r="K3" s="1562"/>
      <c r="L3" s="88" t="s">
        <v>31</v>
      </c>
      <c r="M3" s="533" t="e">
        <f>VLOOKUP(S3,DATOS!D7:N19,6,FALSE)</f>
        <v>#N/A</v>
      </c>
      <c r="N3" s="533"/>
      <c r="O3" s="88" t="s">
        <v>252</v>
      </c>
      <c r="P3" s="1561" t="e">
        <f>VLOOKUP(S3,DATOS!D7:N19,11,FALSE)</f>
        <v>#N/A</v>
      </c>
      <c r="Q3" s="1561"/>
      <c r="R3" s="1563"/>
      <c r="S3" s="314"/>
    </row>
    <row r="4" spans="1:29" s="368" customFormat="1" ht="39.950000000000003" customHeight="1" x14ac:dyDescent="0.25"/>
    <row r="5" spans="1:29" ht="39.950000000000003" customHeight="1" thickBot="1" x14ac:dyDescent="0.25">
      <c r="A5" s="371"/>
      <c r="H5" s="368"/>
      <c r="J5" s="368"/>
      <c r="P5" s="365"/>
      <c r="Q5" s="365"/>
      <c r="R5" s="365"/>
      <c r="S5" s="365"/>
      <c r="T5" s="365"/>
      <c r="U5" s="365"/>
      <c r="V5" s="365"/>
      <c r="X5" s="365"/>
      <c r="Y5" s="365"/>
      <c r="Z5" s="365"/>
      <c r="AA5" s="365"/>
      <c r="AB5" s="372"/>
      <c r="AC5" s="365"/>
    </row>
    <row r="6" spans="1:29" ht="39.950000000000003" customHeight="1" thickBot="1" x14ac:dyDescent="0.25">
      <c r="A6" s="1442" t="s">
        <v>381</v>
      </c>
      <c r="B6" s="1443"/>
      <c r="C6" s="1443"/>
      <c r="D6" s="1443"/>
      <c r="E6" s="1443"/>
      <c r="F6" s="1443"/>
      <c r="G6" s="1444"/>
      <c r="H6" s="1564" t="s">
        <v>109</v>
      </c>
      <c r="I6" s="1565"/>
      <c r="J6" s="1566"/>
      <c r="K6" s="1567"/>
      <c r="L6" s="1617" t="s">
        <v>183</v>
      </c>
      <c r="M6" s="1617"/>
      <c r="N6" s="1617"/>
      <c r="O6" s="1617"/>
      <c r="P6" s="1617"/>
      <c r="Q6" s="1621" t="s">
        <v>184</v>
      </c>
      <c r="R6" s="1622"/>
      <c r="S6" s="1622"/>
      <c r="T6" s="1622"/>
      <c r="U6" s="1622"/>
      <c r="V6" s="1618"/>
      <c r="W6" s="365"/>
      <c r="X6" s="365"/>
      <c r="Y6" s="365"/>
      <c r="Z6" s="365"/>
      <c r="AA6" s="365"/>
      <c r="AB6" s="372"/>
      <c r="AC6" s="365"/>
    </row>
    <row r="7" spans="1:29" ht="39.950000000000003" customHeight="1" thickBot="1" x14ac:dyDescent="0.25">
      <c r="A7" s="184" t="s">
        <v>234</v>
      </c>
      <c r="B7" s="373" t="s">
        <v>376</v>
      </c>
      <c r="C7" s="374" t="s">
        <v>377</v>
      </c>
      <c r="D7" s="317" t="s">
        <v>378</v>
      </c>
      <c r="E7" s="317" t="s">
        <v>379</v>
      </c>
      <c r="F7" s="375" t="s">
        <v>380</v>
      </c>
      <c r="G7" s="376" t="s">
        <v>141</v>
      </c>
      <c r="H7" s="1577" t="s">
        <v>264</v>
      </c>
      <c r="I7" s="1578"/>
      <c r="J7" s="377" t="e">
        <f>VLOOKUP(K7,DATOS!$O$5:$P$9,2,FALSE)</f>
        <v>#N/A</v>
      </c>
      <c r="K7" s="314"/>
      <c r="L7" s="1618"/>
      <c r="M7" s="1619"/>
      <c r="N7" s="1619"/>
      <c r="O7" s="1619"/>
      <c r="P7" s="1619"/>
      <c r="Q7" s="1623"/>
      <c r="R7" s="1624"/>
      <c r="S7" s="1624"/>
      <c r="T7" s="1624"/>
      <c r="U7" s="1624"/>
      <c r="V7" s="1625"/>
      <c r="X7" s="378"/>
      <c r="Y7" s="378"/>
      <c r="Z7" s="378"/>
      <c r="AA7" s="378"/>
      <c r="AB7" s="379"/>
      <c r="AC7" s="378"/>
    </row>
    <row r="8" spans="1:29" ht="39.950000000000003" customHeight="1" thickBot="1" x14ac:dyDescent="0.25">
      <c r="A8" s="380" t="e">
        <f>'RT03-F11'!B15</f>
        <v>#N/A</v>
      </c>
      <c r="B8" s="381">
        <f>DATOS!R27</f>
        <v>500</v>
      </c>
      <c r="C8" s="382" t="e">
        <f>'RT03-F11'!C15</f>
        <v>#N/A</v>
      </c>
      <c r="D8" s="383" t="e">
        <f>'RT03-F11'!E15</f>
        <v>#N/A</v>
      </c>
      <c r="E8" s="384" t="e">
        <f>'RT03-F11'!G15</f>
        <v>#N/A</v>
      </c>
      <c r="F8" s="385" t="e">
        <f>'RT03-F11'!I15</f>
        <v>#N/A</v>
      </c>
      <c r="G8" s="386" t="e">
        <f>'RT03-F11'!O15</f>
        <v>#N/A</v>
      </c>
      <c r="H8" s="1572" t="s">
        <v>110</v>
      </c>
      <c r="I8" s="1573"/>
      <c r="J8" s="1548"/>
      <c r="K8" s="1549"/>
      <c r="L8" s="387"/>
      <c r="M8" s="388"/>
      <c r="N8" s="388"/>
      <c r="O8" s="388"/>
      <c r="P8" s="388"/>
      <c r="Q8" s="1670" t="s">
        <v>369</v>
      </c>
      <c r="R8" s="1635" t="s">
        <v>370</v>
      </c>
      <c r="S8" s="1635" t="s">
        <v>371</v>
      </c>
      <c r="T8" s="1635" t="s">
        <v>372</v>
      </c>
      <c r="U8" s="1635" t="s">
        <v>373</v>
      </c>
      <c r="V8" s="1638" t="s">
        <v>374</v>
      </c>
      <c r="W8" s="365"/>
      <c r="X8" s="365"/>
      <c r="Y8" s="365"/>
      <c r="Z8" s="365"/>
      <c r="AA8" s="365"/>
      <c r="AB8" s="372"/>
      <c r="AC8" s="365"/>
    </row>
    <row r="9" spans="1:29" ht="39.950000000000003" customHeight="1" thickBot="1" x14ac:dyDescent="0.25">
      <c r="A9" s="371"/>
      <c r="D9" s="371"/>
      <c r="E9" s="371"/>
      <c r="F9" s="371"/>
      <c r="L9" s="389"/>
      <c r="M9" s="390"/>
      <c r="N9" s="390"/>
      <c r="O9" s="390"/>
      <c r="P9" s="110"/>
      <c r="Q9" s="1671"/>
      <c r="R9" s="1636"/>
      <c r="S9" s="1636"/>
      <c r="T9" s="1636"/>
      <c r="U9" s="1636"/>
      <c r="V9" s="1639"/>
      <c r="AC9" s="365"/>
    </row>
    <row r="10" spans="1:29" ht="39.950000000000003" customHeight="1" thickBot="1" x14ac:dyDescent="0.25">
      <c r="A10" s="371"/>
      <c r="B10" s="1643" t="s">
        <v>325</v>
      </c>
      <c r="C10" s="1644"/>
      <c r="D10" s="1644"/>
      <c r="E10" s="1645"/>
      <c r="F10" s="390"/>
      <c r="H10" s="1643" t="s">
        <v>375</v>
      </c>
      <c r="I10" s="1645"/>
      <c r="L10" s="389"/>
      <c r="M10" s="390"/>
      <c r="N10" s="390"/>
      <c r="O10" s="390"/>
      <c r="P10" s="390"/>
      <c r="Q10" s="1671"/>
      <c r="R10" s="1636"/>
      <c r="S10" s="1637"/>
      <c r="T10" s="1637"/>
      <c r="U10" s="1637"/>
      <c r="V10" s="1640"/>
      <c r="AC10" s="365"/>
    </row>
    <row r="11" spans="1:29" ht="39.950000000000003" customHeight="1" thickBot="1" x14ac:dyDescent="0.4">
      <c r="A11" s="371"/>
      <c r="B11" s="1675" t="s">
        <v>317</v>
      </c>
      <c r="C11" s="1676"/>
      <c r="D11" s="1677" t="s">
        <v>185</v>
      </c>
      <c r="E11" s="1678"/>
      <c r="F11" s="371"/>
      <c r="H11" s="391" t="s">
        <v>315</v>
      </c>
      <c r="I11" s="392" t="s">
        <v>4</v>
      </c>
      <c r="L11" s="393" t="s">
        <v>219</v>
      </c>
      <c r="M11" s="390"/>
      <c r="N11" s="390"/>
      <c r="O11" s="394" t="s">
        <v>186</v>
      </c>
      <c r="P11" s="390"/>
      <c r="Q11" s="1679">
        <f>B8</f>
        <v>500</v>
      </c>
      <c r="R11" s="1668" t="e">
        <f>C8</f>
        <v>#N/A</v>
      </c>
      <c r="S11" s="525"/>
      <c r="T11" s="395">
        <f>M19</f>
        <v>0.19111111111106993</v>
      </c>
      <c r="U11" s="395" t="e">
        <f>($R$11-T11)</f>
        <v>#N/A</v>
      </c>
      <c r="V11" s="396" t="e">
        <f>U11/$D$12</f>
        <v>#N/A</v>
      </c>
      <c r="AC11" s="378"/>
    </row>
    <row r="12" spans="1:29" ht="39.950000000000003" customHeight="1" thickBot="1" x14ac:dyDescent="0.3">
      <c r="A12" s="371"/>
      <c r="B12" s="397" t="e">
        <f>VLOOKUP(F12,DATOS!$Q$17:$S$21,2,FALSE)</f>
        <v>#N/A</v>
      </c>
      <c r="C12" s="398"/>
      <c r="D12" s="399" t="e">
        <f>VLOOKUP(F12,DATOS!$Q$17:$S$21,3,FALSE)</f>
        <v>#N/A</v>
      </c>
      <c r="E12" s="400"/>
      <c r="F12" s="529"/>
      <c r="H12" s="401" t="s">
        <v>319</v>
      </c>
      <c r="I12" s="402">
        <f>I13/2</f>
        <v>8.1935300000000009</v>
      </c>
      <c r="L12" s="393" t="s">
        <v>187</v>
      </c>
      <c r="M12" s="394"/>
      <c r="N12" s="394" t="s">
        <v>186</v>
      </c>
      <c r="O12" s="394"/>
      <c r="P12" s="390"/>
      <c r="Q12" s="1679"/>
      <c r="R12" s="1668"/>
      <c r="S12" s="525"/>
      <c r="T12" s="395">
        <f>M20</f>
        <v>0.19111111111106993</v>
      </c>
      <c r="U12" s="395" t="e">
        <f>($R$11-T12)</f>
        <v>#N/A</v>
      </c>
      <c r="V12" s="396" t="e">
        <f>U12/$D$12</f>
        <v>#N/A</v>
      </c>
      <c r="AC12" s="379"/>
    </row>
    <row r="13" spans="1:29" ht="39.950000000000003" customHeight="1" thickBot="1" x14ac:dyDescent="0.4">
      <c r="A13" s="371"/>
      <c r="F13" s="390"/>
      <c r="H13" s="401" t="s">
        <v>320</v>
      </c>
      <c r="I13" s="402">
        <v>16.387060000000002</v>
      </c>
      <c r="L13" s="403" t="s">
        <v>220</v>
      </c>
      <c r="M13" s="404" t="s">
        <v>186</v>
      </c>
      <c r="N13" s="405"/>
      <c r="O13" s="405"/>
      <c r="P13" s="406" t="s">
        <v>188</v>
      </c>
      <c r="Q13" s="1680"/>
      <c r="R13" s="1669"/>
      <c r="S13" s="526"/>
      <c r="T13" s="407">
        <f>M21</f>
        <v>0.19111111111106993</v>
      </c>
      <c r="U13" s="407" t="e">
        <f>($R$11-T13)</f>
        <v>#N/A</v>
      </c>
      <c r="V13" s="408" t="e">
        <f>U13/$D$12</f>
        <v>#N/A</v>
      </c>
      <c r="AC13" s="379"/>
    </row>
    <row r="14" spans="1:29" s="390" customFormat="1" ht="39.950000000000003" customHeight="1" thickBot="1" x14ac:dyDescent="0.4">
      <c r="L14" s="111"/>
      <c r="M14" s="409" t="s">
        <v>309</v>
      </c>
      <c r="N14" s="409" t="s">
        <v>188</v>
      </c>
      <c r="O14" s="409" t="s">
        <v>310</v>
      </c>
      <c r="P14" s="113"/>
      <c r="T14" s="410" t="s">
        <v>324</v>
      </c>
      <c r="U14" s="411" t="e">
        <f>AVERAGE(U11:U13)</f>
        <v>#N/A</v>
      </c>
      <c r="V14" s="412" t="e">
        <f>AVERAGE(V11:V13)</f>
        <v>#N/A</v>
      </c>
      <c r="AC14" s="365"/>
    </row>
    <row r="15" spans="1:29" ht="39.950000000000003" customHeight="1" thickBot="1" x14ac:dyDescent="0.25">
      <c r="A15" s="371"/>
      <c r="D15" s="371"/>
      <c r="E15" s="371"/>
      <c r="F15" s="371"/>
      <c r="R15" s="371"/>
      <c r="S15" s="371"/>
      <c r="T15" s="413"/>
      <c r="U15" s="407" t="e">
        <f>STDEVA(U11:U13)</f>
        <v>#N/A</v>
      </c>
      <c r="V15" s="414" t="e">
        <f>_xlfn.STDEV.S(V11:V13)</f>
        <v>#N/A</v>
      </c>
      <c r="AC15" s="415"/>
    </row>
    <row r="16" spans="1:29" ht="39.950000000000003" customHeight="1" thickBot="1" x14ac:dyDescent="0.25">
      <c r="A16" s="371"/>
      <c r="T16" s="416"/>
      <c r="U16" s="407" t="e">
        <f>U15/SQRT(3)</f>
        <v>#N/A</v>
      </c>
      <c r="V16" s="417" t="e">
        <f>V15/SQRT(3)</f>
        <v>#N/A</v>
      </c>
      <c r="AC16" s="418"/>
    </row>
    <row r="17" spans="1:29" ht="39.950000000000003" customHeight="1" thickBot="1" x14ac:dyDescent="0.25">
      <c r="A17" s="371"/>
      <c r="B17" s="1656" t="s">
        <v>326</v>
      </c>
      <c r="C17" s="1657"/>
      <c r="D17" s="1657"/>
      <c r="E17" s="1657"/>
      <c r="F17" s="1658"/>
      <c r="G17" s="1659" t="s">
        <v>200</v>
      </c>
      <c r="H17" s="1660"/>
      <c r="I17" s="1660"/>
      <c r="J17" s="1660"/>
      <c r="K17" s="1661"/>
      <c r="T17" s="371"/>
      <c r="U17" s="371"/>
      <c r="V17" s="371"/>
      <c r="AC17" s="419"/>
    </row>
    <row r="18" spans="1:29" ht="39.950000000000003" customHeight="1" thickBot="1" x14ac:dyDescent="0.25">
      <c r="A18" s="371"/>
      <c r="B18" s="420" t="s">
        <v>101</v>
      </c>
      <c r="C18" s="421" t="s">
        <v>195</v>
      </c>
      <c r="D18" s="421" t="s">
        <v>196</v>
      </c>
      <c r="E18" s="421" t="s">
        <v>197</v>
      </c>
      <c r="F18" s="572" t="s">
        <v>198</v>
      </c>
      <c r="G18" s="577" t="s">
        <v>92</v>
      </c>
      <c r="H18" s="432" t="s">
        <v>61</v>
      </c>
      <c r="I18" s="432" t="s">
        <v>62</v>
      </c>
      <c r="J18" s="432" t="s">
        <v>311</v>
      </c>
      <c r="K18" s="539" t="s">
        <v>102</v>
      </c>
      <c r="L18" s="575" t="s">
        <v>368</v>
      </c>
      <c r="M18" s="422" t="s">
        <v>189</v>
      </c>
      <c r="N18" s="423" t="s">
        <v>190</v>
      </c>
      <c r="O18" s="424">
        <f>(O21-O20)/(N21-N20)</f>
        <v>0.99897777777777785</v>
      </c>
      <c r="P18" s="405"/>
      <c r="Q18" s="425"/>
      <c r="R18" s="405"/>
      <c r="U18" s="426"/>
      <c r="V18" s="427" t="e">
        <f>AVERAGE(S11:S13)</f>
        <v>#DIV/0!</v>
      </c>
      <c r="AC18" s="419"/>
    </row>
    <row r="19" spans="1:29" s="390" customFormat="1" ht="39.950000000000003" customHeight="1" thickBot="1" x14ac:dyDescent="0.25">
      <c r="B19" s="428" t="s">
        <v>199</v>
      </c>
      <c r="C19" s="527"/>
      <c r="D19" s="527"/>
      <c r="E19" s="527"/>
      <c r="F19" s="573" t="e">
        <f>AVERAGE(C19:E19)</f>
        <v>#DIV/0!</v>
      </c>
      <c r="G19" s="429" t="s">
        <v>202</v>
      </c>
      <c r="H19" s="430">
        <v>3.7854100000000002</v>
      </c>
      <c r="I19" s="430">
        <f>(H19/H21)*1000</f>
        <v>3785.4100000000003</v>
      </c>
      <c r="J19" s="430">
        <f>(I19*I22)/I20</f>
        <v>230.99994751956731</v>
      </c>
      <c r="K19" s="578">
        <v>5</v>
      </c>
      <c r="L19" s="576">
        <f>S11</f>
        <v>0</v>
      </c>
      <c r="M19" s="431">
        <f>($O$21+$O$18*(L19-$N$21))</f>
        <v>0.19111111111106993</v>
      </c>
      <c r="N19" s="432" t="s">
        <v>191</v>
      </c>
      <c r="O19" s="432" t="s">
        <v>192</v>
      </c>
      <c r="P19" s="433" t="s">
        <v>193</v>
      </c>
      <c r="Q19" s="1647" t="s">
        <v>194</v>
      </c>
      <c r="R19" s="1648"/>
      <c r="S19" s="1649"/>
      <c r="U19" s="434"/>
      <c r="V19" s="435">
        <f>(I13/10)/SQRT(3)</f>
        <v>0.94610735022265502</v>
      </c>
    </row>
    <row r="20" spans="1:29" s="390" customFormat="1" ht="39.950000000000003" customHeight="1" thickBot="1" x14ac:dyDescent="0.25">
      <c r="B20" s="401" t="s">
        <v>201</v>
      </c>
      <c r="C20" s="995"/>
      <c r="D20" s="528"/>
      <c r="E20" s="528"/>
      <c r="F20" s="574" t="e">
        <f>AVERAGE(C20:E20)</f>
        <v>#DIV/0!</v>
      </c>
      <c r="G20" s="429" t="s">
        <v>311</v>
      </c>
      <c r="H20" s="430">
        <v>1.6387059999999998E-2</v>
      </c>
      <c r="I20" s="430">
        <f>(H20/H21)*I21</f>
        <v>16.387059999999998</v>
      </c>
      <c r="J20" s="430">
        <v>1</v>
      </c>
      <c r="K20" s="1189">
        <f>J19*K19</f>
        <v>1154.9997375978367</v>
      </c>
      <c r="L20" s="576">
        <f t="shared" ref="L20:L21" si="0">S12</f>
        <v>0</v>
      </c>
      <c r="M20" s="395">
        <f>($O$21+$O$18*(L20-$N$21))</f>
        <v>0.19111111111106993</v>
      </c>
      <c r="N20" s="432">
        <f>'RT03-F11'!Q15</f>
        <v>50</v>
      </c>
      <c r="O20" s="432">
        <f>'RT03-F11'!R15</f>
        <v>50.14</v>
      </c>
      <c r="P20" s="432">
        <f>(O20-N20)</f>
        <v>0.14000000000000057</v>
      </c>
      <c r="Q20" s="1650"/>
      <c r="R20" s="1651"/>
      <c r="S20" s="1652"/>
      <c r="U20" s="438"/>
      <c r="V20" s="417">
        <f>(I13/10)/SQRT(3)</f>
        <v>0.94610735022265502</v>
      </c>
    </row>
    <row r="21" spans="1:29" s="390" customFormat="1" ht="39.950000000000003" customHeight="1" thickBot="1" x14ac:dyDescent="0.25">
      <c r="B21" s="439" t="s">
        <v>312</v>
      </c>
      <c r="C21" s="440" t="e">
        <f>F19-F20</f>
        <v>#DIV/0!</v>
      </c>
      <c r="D21" s="441"/>
      <c r="E21" s="442"/>
      <c r="F21" s="442"/>
      <c r="G21" s="429" t="s">
        <v>203</v>
      </c>
      <c r="H21" s="430">
        <v>1</v>
      </c>
      <c r="I21" s="430">
        <v>1000</v>
      </c>
      <c r="J21" s="430">
        <f>H20</f>
        <v>1.6387059999999998E-2</v>
      </c>
      <c r="K21" s="580">
        <f>K19*H19</f>
        <v>18.927050000000001</v>
      </c>
      <c r="L21" s="576">
        <f t="shared" si="0"/>
        <v>0</v>
      </c>
      <c r="M21" s="407">
        <f>($O$21+$O$18*(L21-$N$21))</f>
        <v>0.19111111111106993</v>
      </c>
      <c r="N21" s="432">
        <f>'RT03-F11'!Q16</f>
        <v>500</v>
      </c>
      <c r="O21" s="432">
        <f>'RT03-F11'!R16</f>
        <v>499.68</v>
      </c>
      <c r="P21" s="432">
        <f>(O21-N21)</f>
        <v>-0.31999999999999318</v>
      </c>
      <c r="Q21" s="1653">
        <f>ABS(P21-P20)/12^0.5</f>
        <v>0.13279056191361213</v>
      </c>
      <c r="R21" s="1654"/>
      <c r="S21" s="1655"/>
    </row>
    <row r="22" spans="1:29" s="390" customFormat="1" ht="39.950000000000003" customHeight="1" thickBot="1" x14ac:dyDescent="0.25">
      <c r="B22" s="443" t="s">
        <v>313</v>
      </c>
      <c r="C22" s="444" t="e">
        <f>I13*((F19-F20)/((SQRT(12)*F19)))</f>
        <v>#DIV/0!</v>
      </c>
      <c r="D22" s="445"/>
      <c r="E22" s="446"/>
      <c r="F22" s="446"/>
      <c r="G22" s="436" t="s">
        <v>204</v>
      </c>
      <c r="H22" s="437">
        <v>1E-3</v>
      </c>
      <c r="I22" s="437">
        <v>1</v>
      </c>
      <c r="J22" s="437">
        <f>I20</f>
        <v>16.387059999999998</v>
      </c>
      <c r="K22" s="579">
        <f>K19*I19</f>
        <v>18927.050000000003</v>
      </c>
    </row>
    <row r="23" spans="1:29" s="390" customFormat="1" ht="39.950000000000003" customHeight="1" thickBot="1" x14ac:dyDescent="0.25">
      <c r="B23" s="447"/>
      <c r="D23" s="369"/>
      <c r="E23" s="369"/>
      <c r="F23" s="448"/>
    </row>
    <row r="24" spans="1:29" s="390" customFormat="1" ht="39.950000000000003" customHeight="1" thickBot="1" x14ac:dyDescent="0.25">
      <c r="B24" s="1643" t="s">
        <v>132</v>
      </c>
      <c r="C24" s="1644"/>
      <c r="D24" s="1644"/>
      <c r="E24" s="1644"/>
      <c r="F24" s="1644"/>
      <c r="G24" s="1644"/>
      <c r="H24" s="1644"/>
      <c r="I24" s="1644"/>
      <c r="J24" s="1644"/>
      <c r="K24" s="1644"/>
      <c r="L24" s="1645"/>
    </row>
    <row r="25" spans="1:29" s="366" customFormat="1" ht="39.950000000000003" customHeight="1" x14ac:dyDescent="0.25">
      <c r="A25" s="370"/>
      <c r="B25" s="449"/>
      <c r="C25" s="368"/>
      <c r="D25" s="368"/>
      <c r="E25" s="368"/>
      <c r="F25" s="368"/>
      <c r="G25" s="368"/>
      <c r="H25" s="368"/>
      <c r="I25" s="368"/>
      <c r="J25" s="368"/>
      <c r="K25" s="450" t="s">
        <v>133</v>
      </c>
      <c r="L25" s="451" t="s">
        <v>92</v>
      </c>
    </row>
    <row r="26" spans="1:29" s="368" customFormat="1" ht="39.950000000000003" customHeight="1" x14ac:dyDescent="0.25">
      <c r="B26" s="452" t="s">
        <v>205</v>
      </c>
      <c r="C26" s="453"/>
      <c r="D26" s="453"/>
      <c r="E26" s="453"/>
      <c r="F26" s="453"/>
      <c r="G26" s="454"/>
      <c r="H26" s="454"/>
      <c r="I26" s="454"/>
      <c r="J26" s="455"/>
      <c r="K26" s="456" t="e">
        <f>1/(D12)</f>
        <v>#N/A</v>
      </c>
      <c r="L26" s="457" t="s">
        <v>4</v>
      </c>
    </row>
    <row r="27" spans="1:29" s="366" customFormat="1" ht="5.0999999999999996" customHeight="1" x14ac:dyDescent="0.25">
      <c r="A27" s="368"/>
      <c r="B27" s="458"/>
      <c r="C27" s="459"/>
      <c r="D27" s="459"/>
      <c r="E27" s="459"/>
      <c r="F27" s="459"/>
      <c r="G27" s="368"/>
      <c r="H27" s="368"/>
      <c r="I27" s="368"/>
      <c r="J27" s="368"/>
      <c r="K27" s="460"/>
      <c r="L27" s="461"/>
    </row>
    <row r="28" spans="1:29" s="368" customFormat="1" ht="39.950000000000003" customHeight="1" x14ac:dyDescent="0.25">
      <c r="B28" s="452" t="s">
        <v>206</v>
      </c>
      <c r="C28" s="453"/>
      <c r="D28" s="453"/>
      <c r="E28" s="453"/>
      <c r="F28" s="453"/>
      <c r="G28" s="454"/>
      <c r="H28" s="454"/>
      <c r="I28" s="454"/>
      <c r="J28" s="455"/>
      <c r="K28" s="456" t="e">
        <f>-1/(D12)</f>
        <v>#N/A</v>
      </c>
      <c r="L28" s="457" t="s">
        <v>4</v>
      </c>
    </row>
    <row r="29" spans="1:29" s="366" customFormat="1" ht="5.0999999999999996" customHeight="1" x14ac:dyDescent="0.25">
      <c r="A29" s="368"/>
      <c r="B29" s="458"/>
      <c r="C29" s="459"/>
      <c r="D29" s="459"/>
      <c r="E29" s="459"/>
      <c r="F29" s="459"/>
      <c r="G29" s="368"/>
      <c r="H29" s="368"/>
      <c r="I29" s="368"/>
      <c r="J29" s="368"/>
      <c r="K29" s="460"/>
      <c r="L29" s="462"/>
    </row>
    <row r="30" spans="1:29" s="368" customFormat="1" ht="39.950000000000003" customHeight="1" x14ac:dyDescent="0.25">
      <c r="B30" s="452" t="s">
        <v>206</v>
      </c>
      <c r="C30" s="453"/>
      <c r="D30" s="453"/>
      <c r="E30" s="453"/>
      <c r="F30" s="453"/>
      <c r="G30" s="454"/>
      <c r="H30" s="454"/>
      <c r="I30" s="454"/>
      <c r="J30" s="455"/>
      <c r="K30" s="456" t="e">
        <f>1/(D12)</f>
        <v>#N/A</v>
      </c>
      <c r="L30" s="457" t="s">
        <v>4</v>
      </c>
    </row>
    <row r="31" spans="1:29" s="366" customFormat="1" ht="5.0999999999999996" customHeight="1" x14ac:dyDescent="0.25">
      <c r="A31" s="368"/>
      <c r="B31" s="463"/>
      <c r="C31" s="459"/>
      <c r="D31" s="459"/>
      <c r="E31" s="459"/>
      <c r="F31" s="459"/>
      <c r="G31" s="368"/>
      <c r="H31" s="368"/>
      <c r="I31" s="368"/>
      <c r="J31" s="368"/>
      <c r="K31" s="464"/>
      <c r="L31" s="462"/>
      <c r="M31" s="367"/>
      <c r="N31" s="368"/>
      <c r="O31" s="368"/>
      <c r="P31" s="368"/>
      <c r="Q31" s="368"/>
      <c r="R31" s="370"/>
    </row>
    <row r="32" spans="1:29" s="368" customFormat="1" ht="39.950000000000003" customHeight="1" x14ac:dyDescent="0.25">
      <c r="B32" s="452" t="s">
        <v>206</v>
      </c>
      <c r="C32" s="453"/>
      <c r="D32" s="453"/>
      <c r="E32" s="453"/>
      <c r="F32" s="453"/>
      <c r="G32" s="454"/>
      <c r="H32" s="454"/>
      <c r="I32" s="454"/>
      <c r="J32" s="455"/>
      <c r="K32" s="456" t="e">
        <f>K30</f>
        <v>#N/A</v>
      </c>
      <c r="L32" s="457" t="s">
        <v>4</v>
      </c>
    </row>
    <row r="33" spans="1:18" s="366" customFormat="1" ht="5.0999999999999996" customHeight="1" x14ac:dyDescent="0.25">
      <c r="A33" s="368"/>
      <c r="B33" s="458"/>
      <c r="C33" s="459"/>
      <c r="D33" s="459"/>
      <c r="E33" s="459"/>
      <c r="F33" s="459"/>
      <c r="G33" s="368"/>
      <c r="H33" s="368"/>
      <c r="I33" s="368"/>
      <c r="J33" s="368"/>
      <c r="K33" s="464"/>
      <c r="L33" s="462"/>
      <c r="M33" s="367"/>
      <c r="N33" s="368"/>
      <c r="O33" s="368"/>
      <c r="P33" s="368"/>
      <c r="Q33" s="368"/>
      <c r="R33" s="370"/>
    </row>
    <row r="34" spans="1:18" s="368" customFormat="1" ht="39.950000000000003" customHeight="1" x14ac:dyDescent="0.25">
      <c r="B34" s="452" t="s">
        <v>206</v>
      </c>
      <c r="C34" s="453"/>
      <c r="D34" s="453"/>
      <c r="E34" s="453"/>
      <c r="F34" s="453"/>
      <c r="G34" s="454"/>
      <c r="H34" s="454"/>
      <c r="I34" s="454"/>
      <c r="J34" s="455"/>
      <c r="K34" s="456">
        <v>1</v>
      </c>
      <c r="L34" s="457" t="s">
        <v>4</v>
      </c>
    </row>
    <row r="35" spans="1:18" s="366" customFormat="1" ht="5.0999999999999996" customHeight="1" x14ac:dyDescent="0.25">
      <c r="A35" s="368"/>
      <c r="B35" s="449"/>
      <c r="C35" s="368"/>
      <c r="D35" s="368"/>
      <c r="E35" s="368"/>
      <c r="F35" s="368"/>
      <c r="G35" s="368"/>
      <c r="H35" s="368"/>
      <c r="I35" s="368"/>
      <c r="J35" s="368"/>
      <c r="K35" s="465"/>
      <c r="L35" s="466"/>
      <c r="M35" s="367"/>
      <c r="N35" s="368"/>
      <c r="O35" s="368"/>
      <c r="P35" s="368"/>
      <c r="Q35" s="368"/>
      <c r="R35" s="370"/>
    </row>
    <row r="36" spans="1:18" s="368" customFormat="1" ht="39.950000000000003" customHeight="1" thickBot="1" x14ac:dyDescent="0.3">
      <c r="B36" s="467" t="s">
        <v>206</v>
      </c>
      <c r="C36" s="468"/>
      <c r="D36" s="468"/>
      <c r="E36" s="468"/>
      <c r="F36" s="468"/>
      <c r="G36" s="469"/>
      <c r="H36" s="469"/>
      <c r="I36" s="469"/>
      <c r="J36" s="470"/>
      <c r="K36" s="471">
        <v>1</v>
      </c>
      <c r="L36" s="472" t="s">
        <v>4</v>
      </c>
    </row>
    <row r="37" spans="1:18" s="370" customFormat="1" ht="39.950000000000003" customHeight="1" x14ac:dyDescent="0.25">
      <c r="A37" s="368"/>
      <c r="M37" s="367"/>
    </row>
    <row r="38" spans="1:18" s="368" customFormat="1" ht="39.950000000000003" customHeight="1" thickBot="1" x14ac:dyDescent="0.3">
      <c r="R38" s="450"/>
    </row>
    <row r="39" spans="1:18" s="366" customFormat="1" ht="39.950000000000003" customHeight="1" thickBot="1" x14ac:dyDescent="0.3">
      <c r="B39" s="1643" t="s">
        <v>138</v>
      </c>
      <c r="C39" s="1644"/>
      <c r="D39" s="1644"/>
      <c r="E39" s="1644"/>
      <c r="F39" s="1644"/>
      <c r="G39" s="1644"/>
      <c r="H39" s="1644"/>
      <c r="I39" s="1644"/>
      <c r="J39" s="1644"/>
      <c r="K39" s="1644"/>
      <c r="L39" s="1644"/>
      <c r="M39" s="1644"/>
      <c r="N39" s="1644"/>
      <c r="O39" s="1644"/>
      <c r="P39" s="1644"/>
      <c r="Q39" s="1645"/>
    </row>
    <row r="40" spans="1:18" s="366" customFormat="1" ht="39.950000000000003" customHeight="1" thickBot="1" x14ac:dyDescent="0.3">
      <c r="A40" s="370"/>
      <c r="B40" s="1572" t="s">
        <v>327</v>
      </c>
      <c r="C40" s="1646"/>
      <c r="D40" s="473" t="s">
        <v>328</v>
      </c>
      <c r="E40" s="473" t="s">
        <v>329</v>
      </c>
      <c r="F40" s="473" t="s">
        <v>92</v>
      </c>
      <c r="G40" s="473" t="s">
        <v>141</v>
      </c>
      <c r="H40" s="473" t="s">
        <v>330</v>
      </c>
      <c r="I40" s="473"/>
      <c r="J40" s="473" t="s">
        <v>331</v>
      </c>
      <c r="K40" s="473"/>
      <c r="L40" s="107" t="s">
        <v>332</v>
      </c>
      <c r="M40" s="473" t="s">
        <v>92</v>
      </c>
      <c r="N40" s="107" t="s">
        <v>207</v>
      </c>
      <c r="O40" s="473" t="s">
        <v>145</v>
      </c>
      <c r="P40" s="473" t="s">
        <v>333</v>
      </c>
      <c r="Q40" s="474" t="s">
        <v>334</v>
      </c>
    </row>
    <row r="41" spans="1:18" s="368" customFormat="1" ht="39.950000000000003" customHeight="1" thickBot="1" x14ac:dyDescent="0.3">
      <c r="B41" s="475"/>
      <c r="C41" s="369"/>
      <c r="D41" s="369"/>
      <c r="E41" s="369"/>
      <c r="F41" s="369"/>
      <c r="G41" s="369"/>
      <c r="H41" s="369"/>
      <c r="I41" s="369"/>
      <c r="J41" s="369"/>
      <c r="K41" s="369"/>
      <c r="L41" s="369"/>
      <c r="M41" s="369"/>
      <c r="N41" s="369"/>
      <c r="O41" s="369"/>
      <c r="P41" s="369"/>
      <c r="Q41" s="451"/>
    </row>
    <row r="42" spans="1:18" s="366" customFormat="1" ht="39.950000000000003" customHeight="1" x14ac:dyDescent="0.25">
      <c r="A42" s="1628"/>
      <c r="B42" s="1633" t="s">
        <v>335</v>
      </c>
      <c r="C42" s="1634"/>
      <c r="D42" s="476" t="e">
        <f>U14</f>
        <v>#N/A</v>
      </c>
      <c r="E42" s="477"/>
      <c r="F42" s="478" t="s">
        <v>4</v>
      </c>
      <c r="G42" s="479"/>
      <c r="H42" s="479"/>
      <c r="I42" s="480"/>
      <c r="J42" s="479"/>
      <c r="K42" s="479"/>
      <c r="L42" s="480"/>
      <c r="M42" s="481"/>
      <c r="N42" s="481"/>
      <c r="O42" s="481"/>
      <c r="P42" s="481"/>
      <c r="Q42" s="482"/>
      <c r="R42" s="370"/>
    </row>
    <row r="43" spans="1:18" s="366" customFormat="1" ht="39.950000000000003" customHeight="1" x14ac:dyDescent="0.25">
      <c r="A43" s="1628"/>
      <c r="B43" s="1631" t="s">
        <v>336</v>
      </c>
      <c r="C43" s="1632"/>
      <c r="D43" s="483" t="e">
        <f>R11</f>
        <v>#N/A</v>
      </c>
      <c r="E43" s="484" t="e">
        <f>F8</f>
        <v>#N/A</v>
      </c>
      <c r="F43" s="478" t="s">
        <v>4</v>
      </c>
      <c r="G43" s="485" t="e">
        <f>G8</f>
        <v>#N/A</v>
      </c>
      <c r="H43" s="486" t="e">
        <f>E43/G43</f>
        <v>#N/A</v>
      </c>
      <c r="I43" s="478" t="str">
        <f>F42</f>
        <v>mL</v>
      </c>
      <c r="J43" s="487">
        <v>0.05</v>
      </c>
      <c r="K43" s="478" t="s">
        <v>4</v>
      </c>
      <c r="L43" s="486" t="e">
        <f>J43*H43</f>
        <v>#N/A</v>
      </c>
      <c r="M43" s="478" t="s">
        <v>4</v>
      </c>
      <c r="N43" s="487" t="e">
        <f>L43^2</f>
        <v>#N/A</v>
      </c>
      <c r="O43" s="483" t="s">
        <v>208</v>
      </c>
      <c r="P43" s="483" t="s">
        <v>150</v>
      </c>
      <c r="Q43" s="488">
        <v>50</v>
      </c>
      <c r="R43" s="370"/>
    </row>
    <row r="44" spans="1:18" s="366" customFormat="1" ht="39.950000000000003" customHeight="1" x14ac:dyDescent="0.25">
      <c r="A44" s="1628"/>
      <c r="B44" s="1629" t="s">
        <v>337</v>
      </c>
      <c r="C44" s="1630"/>
      <c r="D44" s="487" t="e">
        <f>V18</f>
        <v>#DIV/0!</v>
      </c>
      <c r="E44" s="484" t="e">
        <f>D8</f>
        <v>#N/A</v>
      </c>
      <c r="F44" s="478" t="s">
        <v>4</v>
      </c>
      <c r="G44" s="483">
        <f>SQRT(3)</f>
        <v>1.7320508075688772</v>
      </c>
      <c r="H44" s="489" t="e">
        <f>SQRT((H43)^2+(Q21)^2)</f>
        <v>#N/A</v>
      </c>
      <c r="I44" s="478" t="str">
        <f>F43</f>
        <v>mL</v>
      </c>
      <c r="J44" s="487" t="e">
        <f>K28</f>
        <v>#N/A</v>
      </c>
      <c r="K44" s="478" t="s">
        <v>4</v>
      </c>
      <c r="L44" s="486" t="e">
        <f t="shared" ref="L44" si="1">J44*H44</f>
        <v>#N/A</v>
      </c>
      <c r="M44" s="478" t="s">
        <v>4</v>
      </c>
      <c r="N44" s="490" t="e">
        <f t="shared" ref="N44:N45" si="2">L44^2</f>
        <v>#N/A</v>
      </c>
      <c r="O44" s="483" t="s">
        <v>208</v>
      </c>
      <c r="P44" s="483" t="s">
        <v>5</v>
      </c>
      <c r="Q44" s="488">
        <v>50</v>
      </c>
      <c r="R44" s="370"/>
    </row>
    <row r="45" spans="1:18" s="366" customFormat="1" ht="39.950000000000003" customHeight="1" x14ac:dyDescent="0.25">
      <c r="A45" s="368"/>
      <c r="B45" s="1629" t="s">
        <v>209</v>
      </c>
      <c r="C45" s="1630"/>
      <c r="D45" s="491"/>
      <c r="E45" s="483">
        <f>I13/10</f>
        <v>1.6387060000000002</v>
      </c>
      <c r="F45" s="478" t="s">
        <v>4</v>
      </c>
      <c r="G45" s="483">
        <f>SQRT(3)</f>
        <v>1.7320508075688772</v>
      </c>
      <c r="H45" s="487">
        <f>E45/G45</f>
        <v>0.94610735022265502</v>
      </c>
      <c r="I45" s="478" t="str">
        <f>F44</f>
        <v>mL</v>
      </c>
      <c r="J45" s="487">
        <f>J43</f>
        <v>0.05</v>
      </c>
      <c r="K45" s="478" t="s">
        <v>4</v>
      </c>
      <c r="L45" s="490">
        <f>J45*H45</f>
        <v>4.7305367511132755E-2</v>
      </c>
      <c r="M45" s="478" t="s">
        <v>4</v>
      </c>
      <c r="N45" s="490">
        <f t="shared" si="2"/>
        <v>2.2377977953633344E-3</v>
      </c>
      <c r="O45" s="483" t="s">
        <v>210</v>
      </c>
      <c r="P45" s="483" t="s">
        <v>5</v>
      </c>
      <c r="Q45" s="488" t="s">
        <v>11</v>
      </c>
      <c r="R45" s="370"/>
    </row>
    <row r="46" spans="1:18" s="368" customFormat="1" ht="39.950000000000003" customHeight="1" x14ac:dyDescent="0.25">
      <c r="B46" s="492"/>
      <c r="C46" s="493"/>
      <c r="D46" s="493"/>
      <c r="E46" s="367"/>
      <c r="F46" s="494"/>
      <c r="G46" s="367"/>
      <c r="H46" s="367"/>
      <c r="I46" s="367"/>
      <c r="J46" s="495"/>
      <c r="K46" s="367"/>
      <c r="L46" s="367"/>
      <c r="M46" s="367"/>
      <c r="N46" s="367"/>
      <c r="O46" s="367"/>
      <c r="P46" s="367"/>
      <c r="Q46" s="496"/>
    </row>
    <row r="47" spans="1:18" s="366" customFormat="1" ht="39.950000000000003" customHeight="1" x14ac:dyDescent="0.25">
      <c r="A47" s="368"/>
      <c r="B47" s="1629" t="s">
        <v>211</v>
      </c>
      <c r="C47" s="1630"/>
      <c r="D47" s="491"/>
      <c r="E47" s="483">
        <f>I13/10</f>
        <v>1.6387060000000002</v>
      </c>
      <c r="F47" s="478" t="s">
        <v>4</v>
      </c>
      <c r="G47" s="483">
        <f>SQRT(3)</f>
        <v>1.7320508075688772</v>
      </c>
      <c r="H47" s="487">
        <f>E47/G47</f>
        <v>0.94610735022265502</v>
      </c>
      <c r="I47" s="478" t="str">
        <f>$I$45</f>
        <v>mL</v>
      </c>
      <c r="J47" s="497">
        <f>J43</f>
        <v>0.05</v>
      </c>
      <c r="K47" s="478" t="s">
        <v>4</v>
      </c>
      <c r="L47" s="490">
        <f>H47*J47</f>
        <v>4.7305367511132755E-2</v>
      </c>
      <c r="M47" s="478" t="s">
        <v>4</v>
      </c>
      <c r="N47" s="490">
        <f t="shared" ref="N47:N49" si="3">L47^2</f>
        <v>2.2377977953633344E-3</v>
      </c>
      <c r="O47" s="483" t="s">
        <v>210</v>
      </c>
      <c r="P47" s="483" t="s">
        <v>5</v>
      </c>
      <c r="Q47" s="488" t="s">
        <v>11</v>
      </c>
      <c r="R47" s="370"/>
    </row>
    <row r="48" spans="1:18" s="366" customFormat="1" ht="39.950000000000003" customHeight="1" x14ac:dyDescent="0.25">
      <c r="A48" s="368"/>
      <c r="B48" s="1629" t="s">
        <v>212</v>
      </c>
      <c r="C48" s="1630"/>
      <c r="D48" s="491"/>
      <c r="E48" s="487" t="e">
        <f>I13*((C21)/(2*F19))</f>
        <v>#DIV/0!</v>
      </c>
      <c r="F48" s="478" t="s">
        <v>4</v>
      </c>
      <c r="G48" s="483">
        <f>SQRT(12)</f>
        <v>3.4641016151377544</v>
      </c>
      <c r="H48" s="487" t="e">
        <f>E48/G48</f>
        <v>#DIV/0!</v>
      </c>
      <c r="I48" s="478" t="str">
        <f>$I$45</f>
        <v>mL</v>
      </c>
      <c r="J48" s="485">
        <v>1</v>
      </c>
      <c r="K48" s="478" t="s">
        <v>4</v>
      </c>
      <c r="L48" s="490" t="e">
        <f>H48*J48</f>
        <v>#DIV/0!</v>
      </c>
      <c r="M48" s="478" t="s">
        <v>4</v>
      </c>
      <c r="N48" s="490" t="e">
        <f>L48^2</f>
        <v>#DIV/0!</v>
      </c>
      <c r="O48" s="483"/>
      <c r="P48" s="483" t="s">
        <v>5</v>
      </c>
      <c r="Q48" s="488" t="s">
        <v>11</v>
      </c>
      <c r="R48" s="370"/>
    </row>
    <row r="49" spans="1:18" s="366" customFormat="1" ht="39.950000000000003" customHeight="1" thickBot="1" x14ac:dyDescent="0.3">
      <c r="A49" s="368"/>
      <c r="B49" s="1641" t="s">
        <v>213</v>
      </c>
      <c r="C49" s="1642"/>
      <c r="D49" s="498"/>
      <c r="E49" s="499"/>
      <c r="F49" s="500"/>
      <c r="G49" s="499"/>
      <c r="H49" s="501" t="e">
        <f>V16</f>
        <v>#N/A</v>
      </c>
      <c r="I49" s="500" t="str">
        <f>$I$45</f>
        <v>mL</v>
      </c>
      <c r="J49" s="502">
        <v>1</v>
      </c>
      <c r="K49" s="500" t="s">
        <v>4</v>
      </c>
      <c r="L49" s="503" t="e">
        <f>H49*J49</f>
        <v>#N/A</v>
      </c>
      <c r="M49" s="500" t="s">
        <v>4</v>
      </c>
      <c r="N49" s="503" t="e">
        <f t="shared" si="3"/>
        <v>#N/A</v>
      </c>
      <c r="O49" s="499"/>
      <c r="P49" s="499" t="s">
        <v>5</v>
      </c>
      <c r="Q49" s="504">
        <v>2</v>
      </c>
      <c r="R49" s="370"/>
    </row>
    <row r="50" spans="1:18" s="390" customFormat="1" ht="39.950000000000003" customHeight="1" thickBot="1" x14ac:dyDescent="0.25">
      <c r="K50" s="505"/>
      <c r="L50" s="378"/>
      <c r="M50" s="506"/>
      <c r="N50" s="507" t="e">
        <f>SQRT(SUM(N42:N45,N47,N48,N49))</f>
        <v>#N/A</v>
      </c>
      <c r="O50" s="508" t="s">
        <v>4</v>
      </c>
      <c r="P50" s="379"/>
    </row>
    <row r="51" spans="1:18" s="390" customFormat="1" ht="39.950000000000003" customHeight="1" thickBot="1" x14ac:dyDescent="0.25">
      <c r="K51" s="509"/>
      <c r="L51" s="378"/>
      <c r="M51" s="510" t="s">
        <v>170</v>
      </c>
      <c r="N51" s="511" t="e">
        <f>N50*O53</f>
        <v>#N/A</v>
      </c>
      <c r="O51" s="512" t="s">
        <v>4</v>
      </c>
      <c r="P51" s="378"/>
    </row>
    <row r="52" spans="1:18" s="390" customFormat="1" ht="39.950000000000003" customHeight="1" x14ac:dyDescent="0.2">
      <c r="L52" s="450"/>
      <c r="N52" s="513"/>
      <c r="O52" s="514" t="s">
        <v>141</v>
      </c>
      <c r="P52" s="515"/>
    </row>
    <row r="53" spans="1:18" s="390" customFormat="1" ht="39.950000000000003" customHeight="1" thickBot="1" x14ac:dyDescent="0.25">
      <c r="A53" s="516"/>
      <c r="L53" s="517" t="s">
        <v>17</v>
      </c>
      <c r="M53" s="518"/>
      <c r="N53" s="519" t="e">
        <f>(N50^4)/((L43^4/Q43)+(L44^4/Q44)+(L49^4/Q49))</f>
        <v>#N/A</v>
      </c>
      <c r="O53" s="520" t="e">
        <f>_xlfn.T.INV.2T(0.05,N53)</f>
        <v>#N/A</v>
      </c>
      <c r="P53" s="521" t="e">
        <f>TINV(0.05,N53)</f>
        <v>#N/A</v>
      </c>
    </row>
    <row r="54" spans="1:18" s="390" customFormat="1" ht="39.950000000000003" customHeight="1" thickBot="1" x14ac:dyDescent="0.25">
      <c r="B54" s="1672" t="s">
        <v>171</v>
      </c>
      <c r="C54" s="1673"/>
      <c r="D54" s="1673"/>
      <c r="E54" s="1673"/>
      <c r="F54" s="1673"/>
      <c r="G54" s="1674"/>
      <c r="I54" s="534" t="s">
        <v>464</v>
      </c>
      <c r="O54" s="1001"/>
    </row>
    <row r="55" spans="1:18" s="390" customFormat="1" ht="39.950000000000003" customHeight="1" thickBot="1" x14ac:dyDescent="0.25">
      <c r="B55" s="556" t="s">
        <v>101</v>
      </c>
      <c r="C55" s="557" t="s">
        <v>214</v>
      </c>
      <c r="D55" s="557" t="s">
        <v>314</v>
      </c>
      <c r="E55" s="522" t="s">
        <v>141</v>
      </c>
      <c r="F55" s="557" t="s">
        <v>7</v>
      </c>
      <c r="G55" s="523" t="s">
        <v>548</v>
      </c>
      <c r="I55" s="1186"/>
    </row>
    <row r="56" spans="1:18" s="390" customFormat="1" ht="39.950000000000003" customHeight="1" x14ac:dyDescent="0.2">
      <c r="B56" s="558" t="s">
        <v>4</v>
      </c>
      <c r="C56" s="524" t="e">
        <f>V14</f>
        <v>#N/A</v>
      </c>
      <c r="D56" s="987" t="e">
        <f>N50</f>
        <v>#N/A</v>
      </c>
      <c r="E56" s="1665">
        <v>2</v>
      </c>
      <c r="F56" s="990" t="e">
        <f>D56*E56</f>
        <v>#N/A</v>
      </c>
      <c r="G56" s="1662">
        <v>95.45</v>
      </c>
    </row>
    <row r="57" spans="1:18" s="390" customFormat="1" ht="39.950000000000003" customHeight="1" x14ac:dyDescent="0.2">
      <c r="B57" s="558" t="s">
        <v>315</v>
      </c>
      <c r="C57" s="571" t="e">
        <f>C56/J22</f>
        <v>#N/A</v>
      </c>
      <c r="D57" s="988" t="e">
        <f>C57/J22</f>
        <v>#N/A</v>
      </c>
      <c r="E57" s="1666"/>
      <c r="F57" s="991" t="e">
        <f>F56/J22</f>
        <v>#N/A</v>
      </c>
      <c r="G57" s="1663"/>
    </row>
    <row r="58" spans="1:18" s="390" customFormat="1" ht="39.950000000000003" customHeight="1" thickBot="1" x14ac:dyDescent="0.25">
      <c r="B58" s="559" t="s">
        <v>467</v>
      </c>
      <c r="C58" s="570" t="e">
        <f>(C57*100)/K20</f>
        <v>#N/A</v>
      </c>
      <c r="D58" s="989" t="e">
        <f>(D57*100)/1155</f>
        <v>#N/A</v>
      </c>
      <c r="E58" s="1667"/>
      <c r="F58" s="992" t="e">
        <f>(F57*100)/K20</f>
        <v>#N/A</v>
      </c>
      <c r="G58" s="1664"/>
    </row>
    <row r="59" spans="1:18" s="390" customFormat="1" x14ac:dyDescent="0.2"/>
    <row r="60" spans="1:18" s="390" customFormat="1" x14ac:dyDescent="0.2"/>
    <row r="61" spans="1:18" s="390" customFormat="1" x14ac:dyDescent="0.2"/>
  </sheetData>
  <sheetProtection algorithmName="SHA-512" hashValue="8bmM79ZB+P7qimRe11/rOer7NwRoNEioXFfh6JbQ/bbdTeUbbJvT5ni0r5ZOkmkwX9hz8EXQUcbJlOzLc5WtPg==" saltValue="WxSgw0KNaCur3XNPstZIuA==" spinCount="100000" sheet="1" objects="1" scenarios="1"/>
  <dataConsolidate/>
  <mergeCells count="44">
    <mergeCell ref="G17:K17"/>
    <mergeCell ref="G56:G58"/>
    <mergeCell ref="E56:E58"/>
    <mergeCell ref="R11:R13"/>
    <mergeCell ref="Q8:Q10"/>
    <mergeCell ref="B54:G54"/>
    <mergeCell ref="B11:C11"/>
    <mergeCell ref="D11:E11"/>
    <mergeCell ref="B10:E10"/>
    <mergeCell ref="J8:K8"/>
    <mergeCell ref="Q11:Q13"/>
    <mergeCell ref="T8:T10"/>
    <mergeCell ref="U8:U10"/>
    <mergeCell ref="V8:V10"/>
    <mergeCell ref="B48:C48"/>
    <mergeCell ref="B49:C49"/>
    <mergeCell ref="B39:Q39"/>
    <mergeCell ref="B40:C40"/>
    <mergeCell ref="H8:I8"/>
    <mergeCell ref="R8:R10"/>
    <mergeCell ref="S8:S10"/>
    <mergeCell ref="Q19:S20"/>
    <mergeCell ref="Q21:S21"/>
    <mergeCell ref="B24:L24"/>
    <mergeCell ref="H10:I10"/>
    <mergeCell ref="B17:F17"/>
    <mergeCell ref="B47:C47"/>
    <mergeCell ref="A42:A44"/>
    <mergeCell ref="B45:C45"/>
    <mergeCell ref="B44:C44"/>
    <mergeCell ref="B43:C43"/>
    <mergeCell ref="B42:C42"/>
    <mergeCell ref="A1:B1"/>
    <mergeCell ref="L6:P7"/>
    <mergeCell ref="D3:E3"/>
    <mergeCell ref="G3:H3"/>
    <mergeCell ref="J3:K3"/>
    <mergeCell ref="P3:R3"/>
    <mergeCell ref="Q6:V7"/>
    <mergeCell ref="A6:G6"/>
    <mergeCell ref="H6:I6"/>
    <mergeCell ref="J6:K6"/>
    <mergeCell ref="H7:I7"/>
    <mergeCell ref="D1:V1"/>
  </mergeCells>
  <pageMargins left="0.70866141732283472" right="0.70866141732283472" top="0.74803149606299213" bottom="0.74803149606299213" header="0.31496062992125984" footer="0.31496062992125984"/>
  <pageSetup scale="10" orientation="landscape" horizontalDpi="4294967293" r:id="rId1"/>
  <headerFooter>
    <oddFooter>&amp;RRT03-F11 Vr.4(2018-07-26)</oddFooter>
  </headerFooter>
  <rowBreaks count="1" manualBreakCount="1">
    <brk id="36" max="22" man="1"/>
  </rowBreaks>
  <colBreaks count="1" manualBreakCount="1">
    <brk id="26" max="63" man="1"/>
  </colBreaks>
  <ignoredErrors>
    <ignoredError sqref="Q11:R11"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DATOS!$D$7:$D$9</xm:f>
          </x14:formula1>
          <xm:sqref>S3</xm:sqref>
        </x14:dataValidation>
        <x14:dataValidation type="list" allowBlank="1" showInputMessage="1" showErrorMessage="1">
          <x14:formula1>
            <xm:f>DATOS!$Q$18:$Q$21</xm:f>
          </x14:formula1>
          <xm:sqref>F12</xm:sqref>
        </x14:dataValidation>
        <x14:dataValidation type="list" allowBlank="1" showInputMessage="1" showErrorMessage="1">
          <x14:formula1>
            <xm:f>DATOS!$O$5:$O$9</xm:f>
          </x14:formula1>
          <xm:sqref>K7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showGridLines="0" tabSelected="1" view="pageBreakPreview" zoomScale="160" zoomScaleNormal="100" zoomScaleSheetLayoutView="160" workbookViewId="0">
      <selection activeCell="H12" sqref="H12:J12"/>
    </sheetView>
  </sheetViews>
  <sheetFormatPr baseColWidth="10" defaultRowHeight="15.75" x14ac:dyDescent="0.25"/>
  <cols>
    <col min="1" max="1" width="6.28515625" style="1080" customWidth="1"/>
    <col min="2" max="2" width="7.85546875" style="1080" customWidth="1"/>
    <col min="3" max="3" width="7.42578125" style="1080" customWidth="1"/>
    <col min="4" max="4" width="6.28515625" style="1080" customWidth="1"/>
    <col min="5" max="5" width="10.7109375" style="1080" customWidth="1"/>
    <col min="6" max="6" width="12.7109375" style="1080" customWidth="1"/>
    <col min="7" max="7" width="6.28515625" style="1080" customWidth="1"/>
    <col min="8" max="8" width="15.5703125" style="1080" customWidth="1"/>
    <col min="9" max="10" width="7.28515625" style="1080" customWidth="1"/>
    <col min="11" max="11" width="4.5703125" style="1080" customWidth="1"/>
    <col min="12" max="12" width="3.28515625" style="1080" customWidth="1"/>
    <col min="13" max="13" width="8.28515625" style="1080" customWidth="1"/>
    <col min="14" max="14" width="10.140625" style="1080" customWidth="1"/>
    <col min="15" max="15" width="8" style="1080" customWidth="1"/>
    <col min="16" max="16" width="13.85546875" style="1080" customWidth="1"/>
    <col min="17" max="17" width="0.5703125" style="1080" customWidth="1"/>
    <col min="18" max="18" width="1.7109375" style="1080" customWidth="1"/>
    <col min="19" max="16384" width="11.42578125" style="1080"/>
  </cols>
  <sheetData>
    <row r="1" spans="1:11" ht="14.25" customHeight="1" x14ac:dyDescent="0.25">
      <c r="A1" s="1706"/>
      <c r="B1" s="1706"/>
      <c r="C1" s="1706"/>
      <c r="D1" s="1706"/>
      <c r="E1" s="1706"/>
      <c r="F1" s="1706"/>
      <c r="G1" s="1706"/>
      <c r="H1" s="1706"/>
      <c r="I1" s="1706"/>
      <c r="J1" s="1706"/>
      <c r="K1" s="1706"/>
    </row>
    <row r="2" spans="1:11" ht="14.25" customHeight="1" x14ac:dyDescent="0.25">
      <c r="A2" s="1706"/>
      <c r="B2" s="1706"/>
      <c r="C2" s="1706"/>
      <c r="D2" s="1706"/>
      <c r="E2" s="1706"/>
      <c r="F2" s="1706"/>
      <c r="G2" s="1706"/>
      <c r="H2" s="1706"/>
      <c r="I2" s="1706"/>
      <c r="J2" s="1706"/>
      <c r="K2" s="1706"/>
    </row>
    <row r="3" spans="1:11" ht="14.25" customHeight="1" x14ac:dyDescent="0.25">
      <c r="A3" s="1706"/>
      <c r="B3" s="1706"/>
      <c r="C3" s="1706"/>
      <c r="D3" s="1706"/>
      <c r="E3" s="1706"/>
      <c r="F3" s="1706"/>
      <c r="G3" s="1706"/>
      <c r="H3" s="1706"/>
      <c r="I3" s="1706"/>
      <c r="J3" s="1706"/>
      <c r="K3" s="1706"/>
    </row>
    <row r="4" spans="1:11" ht="14.25" customHeight="1" x14ac:dyDescent="0.25">
      <c r="A4" s="1706"/>
      <c r="B4" s="1706"/>
      <c r="C4" s="1706"/>
      <c r="D4" s="1706"/>
      <c r="E4" s="1706"/>
      <c r="F4" s="1706"/>
      <c r="G4" s="1706"/>
      <c r="H4" s="1706"/>
      <c r="I4" s="1706"/>
      <c r="J4" s="1706"/>
      <c r="K4" s="1706"/>
    </row>
    <row r="5" spans="1:11" ht="14.25" customHeight="1" x14ac:dyDescent="0.25">
      <c r="A5" s="1706"/>
      <c r="B5" s="1706"/>
      <c r="C5" s="1706"/>
      <c r="D5" s="1706"/>
      <c r="E5" s="1706"/>
      <c r="F5" s="1706"/>
      <c r="G5" s="1706"/>
      <c r="H5" s="1706"/>
      <c r="I5" s="1706"/>
      <c r="J5" s="1706"/>
      <c r="K5" s="1706"/>
    </row>
    <row r="6" spans="1:11" ht="15" customHeight="1" x14ac:dyDescent="0.25">
      <c r="A6" s="1687" t="s">
        <v>65</v>
      </c>
      <c r="B6" s="1687"/>
      <c r="C6" s="1687"/>
      <c r="D6" s="1687"/>
      <c r="E6" s="1081"/>
      <c r="F6" s="1082"/>
      <c r="H6" s="1083" t="s">
        <v>554</v>
      </c>
      <c r="I6" s="1682">
        <f>DATOS!N15</f>
        <v>0</v>
      </c>
      <c r="J6" s="1682"/>
    </row>
    <row r="7" spans="1:11" ht="12" customHeight="1" x14ac:dyDescent="0.25">
      <c r="A7" s="1084"/>
      <c r="B7" s="1084"/>
      <c r="C7" s="1084"/>
      <c r="D7" s="1082"/>
      <c r="E7" s="1082"/>
      <c r="F7" s="1082"/>
    </row>
    <row r="8" spans="1:11" ht="15" customHeight="1" x14ac:dyDescent="0.25">
      <c r="A8" s="1690" t="s">
        <v>66</v>
      </c>
      <c r="B8" s="1690"/>
      <c r="C8" s="1084"/>
      <c r="D8" s="1707">
        <f>DATOS!K8</f>
        <v>0</v>
      </c>
      <c r="E8" s="1707"/>
      <c r="F8" s="1707"/>
      <c r="G8" s="1085"/>
      <c r="H8" s="1085"/>
    </row>
    <row r="9" spans="1:11" ht="21.75" customHeight="1" x14ac:dyDescent="0.25">
      <c r="A9" s="1690" t="s">
        <v>41</v>
      </c>
      <c r="B9" s="1690"/>
      <c r="C9" s="1084"/>
      <c r="D9" s="1707">
        <f>DATOS!L8</f>
        <v>0</v>
      </c>
      <c r="E9" s="1707"/>
      <c r="F9" s="1707"/>
      <c r="G9" s="1085"/>
      <c r="H9" s="1085"/>
      <c r="I9" s="1085"/>
      <c r="J9" s="1085"/>
    </row>
    <row r="10" spans="1:11" ht="15" customHeight="1" x14ac:dyDescent="0.25">
      <c r="A10" s="1690" t="s">
        <v>67</v>
      </c>
      <c r="B10" s="1690"/>
      <c r="C10" s="1084"/>
      <c r="D10" s="1707">
        <f>DATOS!M8</f>
        <v>0</v>
      </c>
      <c r="E10" s="1707"/>
      <c r="F10" s="1707"/>
      <c r="G10" s="1707"/>
    </row>
    <row r="11" spans="1:11" ht="12" customHeight="1" x14ac:dyDescent="0.25">
      <c r="A11" s="1086"/>
      <c r="B11" s="1086"/>
      <c r="C11" s="1084"/>
      <c r="D11" s="1082"/>
      <c r="E11" s="1082"/>
      <c r="F11" s="1082"/>
      <c r="G11" s="1082"/>
    </row>
    <row r="12" spans="1:11" ht="12" customHeight="1" x14ac:dyDescent="0.25">
      <c r="A12" s="1690" t="s">
        <v>30</v>
      </c>
      <c r="B12" s="1690"/>
      <c r="C12" s="1690"/>
      <c r="D12" s="1698" t="e">
        <f>'RT03-F11'!D3</f>
        <v>#N/A</v>
      </c>
      <c r="E12" s="1698"/>
      <c r="F12" s="1699" t="s">
        <v>31</v>
      </c>
      <c r="G12" s="1699"/>
      <c r="H12" s="1698">
        <f>DATOS!I8</f>
        <v>0</v>
      </c>
      <c r="I12" s="1698"/>
      <c r="J12" s="1698"/>
    </row>
    <row r="13" spans="1:11" ht="12" customHeight="1" x14ac:dyDescent="0.25">
      <c r="A13" s="1690"/>
      <c r="B13" s="1690"/>
      <c r="C13" s="1087"/>
      <c r="D13" s="1690"/>
      <c r="E13" s="1690"/>
      <c r="F13" s="1690"/>
      <c r="I13" s="1088"/>
      <c r="J13" s="1088"/>
      <c r="K13" s="1088"/>
    </row>
    <row r="14" spans="1:11" ht="20.100000000000001" customHeight="1" x14ac:dyDescent="0.25">
      <c r="A14" s="1701" t="s">
        <v>68</v>
      </c>
      <c r="B14" s="1701"/>
      <c r="C14" s="1701"/>
      <c r="D14" s="1701"/>
      <c r="E14" s="1701"/>
      <c r="F14" s="1701"/>
      <c r="G14" s="1089"/>
      <c r="H14" s="1089"/>
      <c r="I14" s="1088"/>
      <c r="J14" s="1088"/>
      <c r="K14" s="1088"/>
    </row>
    <row r="15" spans="1:11" ht="12" customHeight="1" x14ac:dyDescent="0.25">
      <c r="A15" s="1084"/>
      <c r="B15" s="1084"/>
      <c r="C15" s="1084"/>
      <c r="D15" s="1084"/>
      <c r="E15" s="1084"/>
      <c r="F15" s="1082"/>
      <c r="I15" s="1088"/>
      <c r="J15" s="1088"/>
      <c r="K15" s="1088"/>
    </row>
    <row r="16" spans="1:11" ht="15" customHeight="1" x14ac:dyDescent="0.25">
      <c r="A16" s="1690" t="s">
        <v>27</v>
      </c>
      <c r="B16" s="1690"/>
      <c r="C16" s="1690"/>
      <c r="D16" s="1708" t="s">
        <v>343</v>
      </c>
      <c r="E16" s="1708"/>
      <c r="F16" s="1708"/>
      <c r="G16" s="1708"/>
      <c r="H16" s="1708"/>
      <c r="I16" s="1088"/>
      <c r="J16" s="1088"/>
      <c r="K16" s="1088"/>
    </row>
    <row r="17" spans="1:13" ht="15" customHeight="1" x14ac:dyDescent="0.25">
      <c r="A17" s="1690" t="s">
        <v>28</v>
      </c>
      <c r="B17" s="1690"/>
      <c r="C17" s="1690"/>
      <c r="D17" s="1707">
        <f>DATOS!C15</f>
        <v>0</v>
      </c>
      <c r="E17" s="1707"/>
      <c r="F17" s="1707"/>
      <c r="G17" s="1707"/>
      <c r="I17" s="1088"/>
      <c r="J17" s="1088"/>
      <c r="K17" s="1088"/>
    </row>
    <row r="18" spans="1:13" ht="15" customHeight="1" x14ac:dyDescent="0.25">
      <c r="A18" s="1690" t="s">
        <v>29</v>
      </c>
      <c r="B18" s="1690"/>
      <c r="C18" s="1690"/>
      <c r="D18" s="1700">
        <f>DATOS!E15</f>
        <v>0</v>
      </c>
      <c r="E18" s="1700"/>
      <c r="F18" s="1700"/>
      <c r="G18" s="1700"/>
      <c r="I18" s="1088"/>
      <c r="J18" s="1088"/>
      <c r="K18" s="1088"/>
    </row>
    <row r="19" spans="1:13" ht="12" customHeight="1" x14ac:dyDescent="0.25">
      <c r="A19" s="1086"/>
      <c r="B19" s="1086"/>
      <c r="C19" s="1086"/>
      <c r="D19" s="1090"/>
      <c r="E19" s="1090"/>
      <c r="F19" s="1090"/>
      <c r="G19" s="1090"/>
      <c r="I19" s="1088"/>
      <c r="J19" s="1088"/>
      <c r="K19" s="1088"/>
    </row>
    <row r="20" spans="1:13" ht="20.100000000000001" customHeight="1" x14ac:dyDescent="0.25">
      <c r="A20" s="1701" t="s">
        <v>215</v>
      </c>
      <c r="B20" s="1701"/>
      <c r="C20" s="1701"/>
      <c r="D20" s="1701"/>
      <c r="E20" s="1701"/>
      <c r="F20" s="1701"/>
      <c r="G20" s="1701"/>
      <c r="H20" s="1701"/>
      <c r="I20" s="1701"/>
      <c r="J20" s="1701"/>
      <c r="K20" s="1701"/>
    </row>
    <row r="21" spans="1:13" ht="21.75" customHeight="1" x14ac:dyDescent="0.25">
      <c r="A21" s="1702" t="e">
        <f>'RT03-F11'!J3</f>
        <v>#N/A</v>
      </c>
      <c r="B21" s="1702"/>
      <c r="C21" s="1702"/>
      <c r="D21" s="1702"/>
      <c r="E21" s="1703" t="str">
        <f>DATOS!H8</f>
        <v>Carrera 50 # 26-55 piso 5</v>
      </c>
      <c r="F21" s="1703"/>
      <c r="G21" s="1087"/>
      <c r="H21" s="1087"/>
      <c r="I21" s="1087"/>
      <c r="J21" s="1087"/>
    </row>
    <row r="22" spans="1:13" ht="12" customHeight="1" x14ac:dyDescent="0.25">
      <c r="A22" s="1091"/>
      <c r="B22" s="1091"/>
      <c r="C22" s="1091"/>
      <c r="D22" s="1091"/>
      <c r="E22" s="1091"/>
      <c r="F22" s="1091"/>
      <c r="G22" s="1091"/>
      <c r="H22" s="1091"/>
      <c r="I22" s="1091"/>
      <c r="J22" s="1091"/>
    </row>
    <row r="23" spans="1:13" ht="20.100000000000001" customHeight="1" x14ac:dyDescent="0.25">
      <c r="A23" s="1701" t="s">
        <v>562</v>
      </c>
      <c r="B23" s="1701"/>
      <c r="C23" s="1701"/>
      <c r="D23" s="1701"/>
      <c r="E23" s="1702">
        <f>DATOS!J8</f>
        <v>0</v>
      </c>
      <c r="F23" s="1702"/>
      <c r="G23" s="1709"/>
      <c r="H23" s="1710"/>
      <c r="I23" s="1710"/>
      <c r="K23" s="1690"/>
      <c r="L23" s="1690"/>
      <c r="M23" s="1690"/>
    </row>
    <row r="24" spans="1:13" ht="9.9499999999999993" customHeight="1" x14ac:dyDescent="0.25">
      <c r="A24" s="1091"/>
      <c r="B24" s="1091"/>
      <c r="C24" s="1091"/>
      <c r="D24" s="1091"/>
      <c r="E24" s="1091"/>
      <c r="F24" s="1091"/>
      <c r="G24" s="1091"/>
      <c r="H24" s="1091"/>
      <c r="I24" s="1091"/>
      <c r="J24" s="1091"/>
    </row>
    <row r="25" spans="1:13" ht="9.9499999999999993" customHeight="1" x14ac:dyDescent="0.25">
      <c r="A25" s="1091"/>
      <c r="B25" s="1091"/>
      <c r="C25" s="1091"/>
      <c r="D25" s="1091"/>
      <c r="E25" s="1091"/>
      <c r="F25" s="1091"/>
      <c r="G25" s="1091"/>
      <c r="H25" s="1091"/>
      <c r="I25" s="1091"/>
      <c r="J25" s="1091"/>
    </row>
    <row r="26" spans="1:13" ht="15" customHeight="1" x14ac:dyDescent="0.25">
      <c r="A26" s="1696" t="s">
        <v>549</v>
      </c>
      <c r="B26" s="1696"/>
      <c r="C26" s="1696"/>
      <c r="D26" s="1696"/>
      <c r="E26" s="1696"/>
      <c r="F26" s="1696"/>
      <c r="G26" s="1696"/>
      <c r="H26" s="1696"/>
      <c r="I26" s="1696"/>
      <c r="J26" s="1696"/>
      <c r="K26" s="1092"/>
      <c r="L26" s="1092"/>
      <c r="M26" s="1092"/>
    </row>
    <row r="27" spans="1:13" ht="15" customHeight="1" x14ac:dyDescent="0.25">
      <c r="A27" s="1696"/>
      <c r="B27" s="1696"/>
      <c r="C27" s="1696"/>
      <c r="D27" s="1696"/>
      <c r="E27" s="1696"/>
      <c r="F27" s="1696"/>
      <c r="G27" s="1696"/>
      <c r="H27" s="1696"/>
      <c r="I27" s="1696"/>
      <c r="J27" s="1696"/>
    </row>
    <row r="28" spans="1:13" ht="12" customHeight="1" x14ac:dyDescent="0.25">
      <c r="A28" s="1711"/>
      <c r="B28" s="1711"/>
      <c r="C28" s="1711"/>
      <c r="D28" s="1711"/>
      <c r="E28" s="1711"/>
      <c r="F28" s="1711"/>
      <c r="G28" s="1711"/>
      <c r="H28" s="1711"/>
      <c r="I28" s="1711"/>
      <c r="J28" s="1711"/>
    </row>
    <row r="29" spans="1:13" s="1093" customFormat="1" ht="24.95" customHeight="1" x14ac:dyDescent="0.25">
      <c r="A29" s="1696" t="s">
        <v>482</v>
      </c>
      <c r="B29" s="1696"/>
      <c r="C29" s="1696"/>
      <c r="D29" s="1696"/>
      <c r="E29" s="1696"/>
      <c r="F29" s="1696"/>
      <c r="G29" s="1696"/>
      <c r="H29" s="1696"/>
      <c r="I29" s="1696"/>
      <c r="J29" s="1696"/>
      <c r="K29" s="1080"/>
      <c r="L29" s="1080"/>
      <c r="M29" s="1080"/>
    </row>
    <row r="30" spans="1:13" s="1093" customFormat="1" ht="12" customHeight="1" x14ac:dyDescent="0.25">
      <c r="K30" s="1080"/>
      <c r="L30" s="1080"/>
      <c r="M30" s="1080"/>
    </row>
    <row r="31" spans="1:13" ht="15" customHeight="1" x14ac:dyDescent="0.25">
      <c r="A31" s="1697" t="s">
        <v>555</v>
      </c>
      <c r="B31" s="1697"/>
      <c r="C31" s="1697"/>
      <c r="D31" s="1697"/>
      <c r="E31" s="1697"/>
      <c r="F31" s="1697"/>
      <c r="G31" s="1697"/>
      <c r="H31" s="1092"/>
      <c r="I31" s="1092"/>
      <c r="J31" s="1092"/>
    </row>
    <row r="32" spans="1:13" ht="15" customHeight="1" x14ac:dyDescent="0.25">
      <c r="A32" s="1094"/>
      <c r="B32" s="1094"/>
      <c r="C32" s="1094"/>
      <c r="D32" s="1094"/>
      <c r="E32" s="1094"/>
      <c r="F32" s="1094"/>
      <c r="G32" s="1092"/>
      <c r="H32" s="1092"/>
      <c r="I32" s="1092"/>
      <c r="J32" s="1092"/>
    </row>
    <row r="33" spans="1:13" ht="20.100000000000001" customHeight="1" x14ac:dyDescent="0.25">
      <c r="A33" s="1686" t="s">
        <v>69</v>
      </c>
      <c r="B33" s="1686"/>
      <c r="C33" s="1686"/>
      <c r="D33" s="1686"/>
      <c r="E33" s="1686"/>
      <c r="F33" s="1686"/>
      <c r="G33" s="1686"/>
      <c r="H33" s="1686"/>
      <c r="I33" s="1686"/>
    </row>
    <row r="35" spans="1:13" x14ac:dyDescent="0.25">
      <c r="A35" s="1687" t="s">
        <v>42</v>
      </c>
      <c r="B35" s="1687"/>
      <c r="C35" s="1687"/>
      <c r="D35" s="1687"/>
      <c r="E35" s="1687"/>
      <c r="F35" s="1687"/>
      <c r="G35" s="1687"/>
      <c r="H35" s="1687"/>
      <c r="I35" s="1687"/>
      <c r="J35" s="1687"/>
    </row>
    <row r="36" spans="1:13" ht="15" customHeight="1" x14ac:dyDescent="0.25">
      <c r="A36" s="1084"/>
      <c r="B36" s="1084"/>
      <c r="C36" s="1084"/>
      <c r="D36" s="1084"/>
      <c r="E36" s="1084"/>
      <c r="F36" s="1084"/>
      <c r="G36" s="1084"/>
      <c r="H36" s="1084"/>
      <c r="I36" s="1084"/>
      <c r="J36" s="1084"/>
    </row>
    <row r="37" spans="1:13" ht="15" customHeight="1" x14ac:dyDescent="0.25">
      <c r="A37" s="1688" t="s">
        <v>48</v>
      </c>
      <c r="B37" s="1688"/>
      <c r="C37" s="1688"/>
      <c r="D37" s="1085"/>
      <c r="E37" s="1689" t="s">
        <v>477</v>
      </c>
      <c r="F37" s="1689"/>
      <c r="G37" s="1689"/>
      <c r="H37" s="1095"/>
      <c r="I37" s="1095"/>
    </row>
    <row r="38" spans="1:13" ht="15" customHeight="1" x14ac:dyDescent="0.25">
      <c r="A38" s="1688" t="s">
        <v>50</v>
      </c>
      <c r="B38" s="1688"/>
      <c r="C38" s="1688"/>
      <c r="D38" s="1688"/>
      <c r="E38" s="1689" t="s">
        <v>478</v>
      </c>
      <c r="F38" s="1689"/>
      <c r="G38" s="1689"/>
      <c r="H38" s="1095"/>
      <c r="I38" s="1095"/>
    </row>
    <row r="39" spans="1:13" ht="15" customHeight="1" x14ac:dyDescent="0.25">
      <c r="A39" s="1690" t="s">
        <v>49</v>
      </c>
      <c r="B39" s="1690"/>
      <c r="C39" s="1690"/>
      <c r="E39" s="1692" t="s">
        <v>478</v>
      </c>
      <c r="F39" s="1692"/>
      <c r="G39" s="1692"/>
      <c r="H39" s="1095"/>
      <c r="I39" s="1095"/>
    </row>
    <row r="40" spans="1:13" ht="15" customHeight="1" x14ac:dyDescent="0.25">
      <c r="A40" s="1690" t="s">
        <v>70</v>
      </c>
      <c r="B40" s="1690"/>
      <c r="C40" s="1690"/>
      <c r="D40" s="1690"/>
      <c r="E40" s="1693">
        <f>DATOS!G15</f>
        <v>5</v>
      </c>
      <c r="F40" s="1692"/>
      <c r="G40" s="1692"/>
      <c r="H40" s="1692"/>
      <c r="I40" s="1095"/>
      <c r="J40" s="1093"/>
    </row>
    <row r="41" spans="1:13" ht="15" customHeight="1" x14ac:dyDescent="0.25">
      <c r="A41" s="1690" t="s">
        <v>344</v>
      </c>
      <c r="B41" s="1690"/>
      <c r="C41" s="1690"/>
      <c r="E41" s="1689" t="s">
        <v>71</v>
      </c>
      <c r="F41" s="1689"/>
      <c r="G41" s="1689"/>
      <c r="H41" s="1095"/>
      <c r="I41" s="1095"/>
    </row>
    <row r="42" spans="1:13" ht="15.75" customHeight="1" x14ac:dyDescent="0.25">
      <c r="A42" s="1690" t="s">
        <v>52</v>
      </c>
      <c r="B42" s="1690"/>
      <c r="C42" s="1690"/>
      <c r="E42" s="1096" t="s">
        <v>479</v>
      </c>
      <c r="F42" s="1095"/>
      <c r="G42" s="1095"/>
      <c r="H42" s="1095"/>
      <c r="I42" s="1095"/>
    </row>
    <row r="43" spans="1:13" ht="15.75" customHeight="1" x14ac:dyDescent="0.25">
      <c r="A43" s="1690" t="s">
        <v>55</v>
      </c>
      <c r="B43" s="1690"/>
      <c r="C43" s="1690"/>
      <c r="D43" s="1690"/>
      <c r="E43" s="1691">
        <f>DATOS!D15</f>
        <v>0</v>
      </c>
      <c r="F43" s="1689"/>
      <c r="G43" s="1689"/>
      <c r="H43" s="1095"/>
      <c r="I43" s="1095"/>
    </row>
    <row r="44" spans="1:13" ht="12" customHeight="1" x14ac:dyDescent="0.25">
      <c r="A44" s="1690" t="s">
        <v>53</v>
      </c>
      <c r="B44" s="1690"/>
      <c r="C44" s="1690"/>
      <c r="E44" s="1689" t="s">
        <v>462</v>
      </c>
      <c r="F44" s="1689"/>
      <c r="G44" s="1689"/>
      <c r="H44" s="1689"/>
      <c r="I44" s="1689"/>
      <c r="K44" s="1097"/>
      <c r="L44" s="1097"/>
      <c r="M44" s="1097"/>
    </row>
    <row r="45" spans="1:13" ht="12" customHeight="1" x14ac:dyDescent="0.25"/>
    <row r="46" spans="1:13" ht="20.100000000000001" customHeight="1" x14ac:dyDescent="0.25">
      <c r="A46" s="1694" t="s">
        <v>216</v>
      </c>
      <c r="B46" s="1694"/>
      <c r="C46" s="1694"/>
      <c r="D46" s="1694"/>
      <c r="E46" s="1694"/>
      <c r="F46" s="1694"/>
      <c r="G46" s="1694"/>
      <c r="H46" s="1694"/>
      <c r="I46" s="1098"/>
      <c r="J46" s="1099"/>
    </row>
    <row r="47" spans="1:13" ht="15" customHeight="1" x14ac:dyDescent="0.25">
      <c r="A47" s="1090"/>
      <c r="B47" s="1090"/>
      <c r="C47" s="1090"/>
      <c r="D47" s="1090"/>
      <c r="E47" s="1090"/>
      <c r="F47" s="1090"/>
      <c r="G47" s="1090"/>
      <c r="H47" s="1090"/>
      <c r="I47" s="1090"/>
    </row>
    <row r="48" spans="1:13" ht="15" customHeight="1" x14ac:dyDescent="0.25">
      <c r="A48" s="1705" t="s">
        <v>556</v>
      </c>
      <c r="B48" s="1705"/>
      <c r="C48" s="1705"/>
      <c r="D48" s="1705"/>
      <c r="E48" s="1705"/>
      <c r="F48" s="1705"/>
      <c r="G48" s="1705"/>
      <c r="H48" s="1705"/>
      <c r="I48" s="1705"/>
      <c r="J48" s="1705"/>
    </row>
    <row r="49" spans="1:13" ht="15" customHeight="1" x14ac:dyDescent="0.25">
      <c r="A49" s="1705"/>
      <c r="B49" s="1705"/>
      <c r="C49" s="1705"/>
      <c r="D49" s="1705"/>
      <c r="E49" s="1705"/>
      <c r="F49" s="1705"/>
      <c r="G49" s="1705"/>
      <c r="H49" s="1705"/>
      <c r="I49" s="1705"/>
      <c r="J49" s="1705"/>
    </row>
    <row r="50" spans="1:13" ht="15" customHeight="1" x14ac:dyDescent="0.25">
      <c r="A50" s="1705"/>
      <c r="B50" s="1705"/>
      <c r="C50" s="1705"/>
      <c r="D50" s="1705"/>
      <c r="E50" s="1705"/>
      <c r="F50" s="1705"/>
      <c r="G50" s="1705"/>
      <c r="H50" s="1705"/>
      <c r="I50" s="1705"/>
      <c r="J50" s="1705"/>
    </row>
    <row r="51" spans="1:13" ht="15" customHeight="1" x14ac:dyDescent="0.25">
      <c r="A51" s="1705"/>
      <c r="B51" s="1705"/>
      <c r="C51" s="1705"/>
      <c r="D51" s="1705"/>
      <c r="E51" s="1705"/>
      <c r="F51" s="1705"/>
      <c r="G51" s="1705"/>
      <c r="H51" s="1705"/>
      <c r="I51" s="1705"/>
      <c r="J51" s="1705"/>
    </row>
    <row r="52" spans="1:13" ht="15" customHeight="1" x14ac:dyDescent="0.25">
      <c r="A52" s="1705"/>
      <c r="B52" s="1705"/>
      <c r="C52" s="1705"/>
      <c r="D52" s="1705"/>
      <c r="E52" s="1705"/>
      <c r="F52" s="1705"/>
      <c r="G52" s="1705"/>
      <c r="H52" s="1705"/>
      <c r="I52" s="1705"/>
      <c r="J52" s="1705"/>
    </row>
    <row r="53" spans="1:13" ht="15" customHeight="1" x14ac:dyDescent="0.25">
      <c r="A53" s="1100"/>
      <c r="B53" s="1100"/>
      <c r="C53" s="1100"/>
      <c r="D53" s="1100"/>
      <c r="E53" s="1100"/>
      <c r="F53" s="1100"/>
      <c r="G53" s="1100"/>
      <c r="H53" s="1100"/>
      <c r="I53" s="1100"/>
      <c r="J53" s="1100"/>
    </row>
    <row r="54" spans="1:13" ht="15" customHeight="1" x14ac:dyDescent="0.25">
      <c r="A54" s="1100"/>
      <c r="B54" s="1100"/>
      <c r="C54" s="1100"/>
      <c r="D54" s="1100"/>
      <c r="E54" s="1100"/>
      <c r="F54" s="1100"/>
      <c r="G54" s="1100"/>
      <c r="H54" s="1100"/>
      <c r="I54" s="1100"/>
      <c r="J54" s="1100"/>
    </row>
    <row r="55" spans="1:13" ht="15" customHeight="1" x14ac:dyDescent="0.25">
      <c r="A55" s="1100"/>
      <c r="B55" s="1100"/>
      <c r="C55" s="1100"/>
      <c r="D55" s="1100"/>
      <c r="E55" s="1100"/>
      <c r="F55" s="1100"/>
      <c r="G55" s="1100"/>
      <c r="H55" s="1100"/>
      <c r="I55" s="1100"/>
      <c r="J55" s="1100"/>
    </row>
    <row r="56" spans="1:13" ht="15" customHeight="1" x14ac:dyDescent="0.25">
      <c r="A56" s="1100"/>
      <c r="B56" s="1100"/>
      <c r="C56" s="1100"/>
      <c r="D56" s="1100"/>
      <c r="E56" s="1100"/>
      <c r="F56" s="1100"/>
      <c r="G56" s="1100"/>
      <c r="H56" s="1100"/>
      <c r="I56" s="1100"/>
      <c r="J56" s="1100"/>
    </row>
    <row r="57" spans="1:13" ht="15" customHeight="1" x14ac:dyDescent="0.25">
      <c r="A57" s="1100"/>
      <c r="B57" s="1100"/>
      <c r="C57" s="1100"/>
      <c r="D57" s="1100"/>
      <c r="E57" s="1100"/>
      <c r="F57" s="1100"/>
      <c r="G57" s="1100"/>
      <c r="H57" s="1100"/>
      <c r="I57" s="1100"/>
      <c r="J57" s="1100"/>
    </row>
    <row r="58" spans="1:13" ht="15" customHeight="1" x14ac:dyDescent="0.25">
      <c r="A58" s="1101"/>
      <c r="B58" s="1101"/>
      <c r="C58" s="1101"/>
      <c r="D58" s="1101"/>
      <c r="E58" s="1101"/>
      <c r="F58" s="1101"/>
      <c r="G58" s="1101"/>
      <c r="H58" s="1101"/>
      <c r="I58" s="1101"/>
      <c r="J58" s="1101"/>
    </row>
    <row r="59" spans="1:13" ht="15" customHeight="1" x14ac:dyDescent="0.25">
      <c r="A59" s="1101"/>
      <c r="B59" s="1101"/>
      <c r="C59" s="1101"/>
      <c r="D59" s="1101"/>
      <c r="E59" s="1101"/>
      <c r="F59" s="1101"/>
      <c r="G59" s="1101"/>
      <c r="H59" s="1083" t="s">
        <v>554</v>
      </c>
      <c r="I59" s="1682">
        <f>I6</f>
        <v>0</v>
      </c>
      <c r="J59" s="1682"/>
    </row>
    <row r="60" spans="1:13" ht="15" customHeight="1" x14ac:dyDescent="0.25">
      <c r="A60" s="1101"/>
      <c r="B60" s="1101"/>
      <c r="C60" s="1101"/>
      <c r="D60" s="1101"/>
      <c r="E60" s="1101"/>
      <c r="F60" s="1101"/>
      <c r="G60" s="1101"/>
      <c r="H60" s="1101"/>
      <c r="I60" s="1101"/>
      <c r="J60" s="1101"/>
    </row>
    <row r="61" spans="1:13" ht="20.100000000000001" customHeight="1" x14ac:dyDescent="0.25">
      <c r="A61" s="1101"/>
      <c r="B61" s="1101"/>
      <c r="C61" s="1101"/>
      <c r="D61" s="1101"/>
      <c r="E61" s="1101"/>
      <c r="F61" s="1101"/>
      <c r="G61" s="1101"/>
      <c r="H61" s="1101"/>
      <c r="I61" s="1101"/>
      <c r="J61" s="1101"/>
      <c r="K61" s="1102"/>
      <c r="L61" s="1102"/>
      <c r="M61" s="1102"/>
    </row>
    <row r="62" spans="1:13" ht="12" customHeight="1" x14ac:dyDescent="0.25">
      <c r="K62" s="1102"/>
      <c r="L62" s="1102"/>
      <c r="M62" s="1102"/>
    </row>
    <row r="63" spans="1:13" s="1102" customFormat="1" ht="16.5" customHeight="1" x14ac:dyDescent="0.25">
      <c r="A63" s="1080"/>
      <c r="B63" s="1080"/>
      <c r="C63" s="1080"/>
      <c r="D63" s="1080"/>
      <c r="E63" s="1080"/>
      <c r="F63" s="1080"/>
      <c r="G63" s="1080"/>
      <c r="H63" s="1080"/>
      <c r="I63" s="1080"/>
      <c r="J63" s="1080"/>
    </row>
    <row r="64" spans="1:13" s="1102" customFormat="1" ht="16.5" customHeight="1" x14ac:dyDescent="0.2">
      <c r="A64" s="1695" t="s">
        <v>57</v>
      </c>
      <c r="B64" s="1695"/>
      <c r="C64" s="1103"/>
      <c r="D64" s="1103"/>
      <c r="E64" s="1103"/>
      <c r="F64" s="1103"/>
      <c r="G64" s="1103"/>
      <c r="H64" s="1103"/>
      <c r="I64" s="1103"/>
      <c r="J64" s="1104"/>
    </row>
    <row r="65" spans="1:10" s="1102" customFormat="1" ht="16.5" customHeight="1" x14ac:dyDescent="0.2">
      <c r="A65" s="1105"/>
      <c r="B65" s="1103"/>
      <c r="C65" s="1103"/>
      <c r="D65" s="1103"/>
      <c r="E65" s="1103"/>
      <c r="F65" s="1103"/>
      <c r="G65" s="1103"/>
      <c r="H65" s="1103"/>
      <c r="I65" s="1103"/>
      <c r="J65" s="1104"/>
    </row>
    <row r="66" spans="1:10" s="1102" customFormat="1" ht="16.5" customHeight="1" x14ac:dyDescent="0.2">
      <c r="A66" s="1103"/>
      <c r="B66" s="1106"/>
      <c r="C66" s="1107" t="s">
        <v>56</v>
      </c>
      <c r="D66" s="1103"/>
      <c r="E66" s="1103"/>
      <c r="F66" s="1103"/>
      <c r="G66" s="1103"/>
      <c r="H66" s="1103"/>
      <c r="I66" s="1103"/>
      <c r="J66" s="1104"/>
    </row>
    <row r="67" spans="1:10" s="1102" customFormat="1" ht="16.5" customHeight="1" x14ac:dyDescent="0.2">
      <c r="A67" s="1108"/>
      <c r="B67" s="1108"/>
      <c r="C67" s="1108"/>
      <c r="D67" s="1108"/>
      <c r="E67" s="1108"/>
      <c r="F67" s="1108"/>
      <c r="G67" s="1108"/>
      <c r="H67" s="1108"/>
      <c r="I67" s="1108"/>
      <c r="J67" s="1108"/>
    </row>
    <row r="68" spans="1:10" s="1102" customFormat="1" ht="16.5" customHeight="1" x14ac:dyDescent="0.2">
      <c r="A68" s="1103"/>
      <c r="B68" s="1109"/>
      <c r="C68" s="1681" t="s">
        <v>557</v>
      </c>
      <c r="D68" s="1681"/>
      <c r="E68" s="1681"/>
      <c r="F68" s="1681"/>
      <c r="G68" s="1681"/>
      <c r="H68" s="1681"/>
      <c r="I68" s="1681"/>
      <c r="J68" s="1681"/>
    </row>
    <row r="69" spans="1:10" s="1102" customFormat="1" ht="16.5" customHeight="1" x14ac:dyDescent="0.2">
      <c r="A69" s="1103"/>
      <c r="B69" s="1109"/>
      <c r="C69" s="1681"/>
      <c r="D69" s="1681"/>
      <c r="E69" s="1681"/>
      <c r="F69" s="1681"/>
      <c r="G69" s="1681"/>
      <c r="H69" s="1681"/>
      <c r="I69" s="1681"/>
      <c r="J69" s="1681"/>
    </row>
    <row r="70" spans="1:10" s="1102" customFormat="1" ht="16.5" customHeight="1" x14ac:dyDescent="0.2">
      <c r="A70" s="1103"/>
      <c r="B70" s="1109"/>
      <c r="C70" s="1110"/>
      <c r="D70" s="1110"/>
      <c r="E70" s="1110"/>
      <c r="F70" s="1110"/>
      <c r="G70" s="1110"/>
      <c r="H70" s="1110"/>
      <c r="I70" s="1110"/>
      <c r="J70" s="1110"/>
    </row>
    <row r="71" spans="1:10" s="1102" customFormat="1" ht="16.5" customHeight="1" x14ac:dyDescent="0.2">
      <c r="A71" s="1103"/>
      <c r="B71" s="1103"/>
      <c r="C71" s="1704" t="s">
        <v>72</v>
      </c>
      <c r="D71" s="1704"/>
      <c r="E71" s="1704"/>
      <c r="F71" s="1704"/>
      <c r="G71" s="1704"/>
      <c r="H71" s="1704"/>
      <c r="I71" s="1704"/>
      <c r="J71" s="1704"/>
    </row>
    <row r="72" spans="1:10" s="1102" customFormat="1" ht="16.5" customHeight="1" x14ac:dyDescent="0.2">
      <c r="A72" s="1103"/>
      <c r="B72" s="1103"/>
      <c r="C72" s="1104"/>
      <c r="D72" s="1104"/>
      <c r="E72" s="1104"/>
      <c r="F72" s="1104"/>
      <c r="G72" s="1104"/>
      <c r="H72" s="1104"/>
      <c r="I72" s="1104"/>
      <c r="J72" s="1104"/>
    </row>
    <row r="73" spans="1:10" s="1102" customFormat="1" ht="16.5" customHeight="1" x14ac:dyDescent="0.2">
      <c r="A73" s="1103"/>
      <c r="B73" s="1103"/>
      <c r="C73" s="1681" t="s">
        <v>558</v>
      </c>
      <c r="D73" s="1681"/>
      <c r="E73" s="1681"/>
      <c r="F73" s="1681"/>
      <c r="G73" s="1681"/>
      <c r="H73" s="1681"/>
      <c r="I73" s="1681"/>
      <c r="J73" s="1681"/>
    </row>
    <row r="74" spans="1:10" s="1102" customFormat="1" ht="16.5" customHeight="1" x14ac:dyDescent="0.2">
      <c r="A74" s="1103"/>
      <c r="B74" s="1103"/>
      <c r="C74" s="1681"/>
      <c r="D74" s="1681"/>
      <c r="E74" s="1681"/>
      <c r="F74" s="1681"/>
      <c r="G74" s="1681"/>
      <c r="H74" s="1681"/>
      <c r="I74" s="1681"/>
      <c r="J74" s="1681"/>
    </row>
    <row r="75" spans="1:10" s="1102" customFormat="1" ht="16.5" customHeight="1" x14ac:dyDescent="0.2">
      <c r="A75" s="1103"/>
      <c r="B75" s="1103"/>
      <c r="C75" s="1110"/>
      <c r="D75" s="1110"/>
      <c r="E75" s="1110"/>
      <c r="F75" s="1110"/>
      <c r="G75" s="1110"/>
      <c r="H75" s="1110"/>
      <c r="I75" s="1110"/>
      <c r="J75" s="1110"/>
    </row>
    <row r="76" spans="1:10" s="1102" customFormat="1" ht="16.5" customHeight="1" x14ac:dyDescent="0.2">
      <c r="A76" s="1103"/>
      <c r="B76" s="1103"/>
      <c r="C76" s="1704" t="s">
        <v>73</v>
      </c>
      <c r="D76" s="1704"/>
      <c r="E76" s="1704"/>
      <c r="F76" s="1704"/>
      <c r="G76" s="1704"/>
      <c r="H76" s="1704"/>
      <c r="I76" s="1704"/>
      <c r="J76" s="1704"/>
    </row>
    <row r="77" spans="1:10" s="1102" customFormat="1" ht="16.5" customHeight="1" x14ac:dyDescent="0.2">
      <c r="A77" s="1103"/>
      <c r="B77" s="1103"/>
      <c r="C77" s="1104"/>
      <c r="D77" s="1104"/>
      <c r="E77" s="1104"/>
      <c r="F77" s="1104"/>
      <c r="G77" s="1104"/>
      <c r="H77" s="1104"/>
      <c r="I77" s="1104"/>
      <c r="J77" s="1104"/>
    </row>
    <row r="78" spans="1:10" s="1102" customFormat="1" ht="16.5" customHeight="1" x14ac:dyDescent="0.2">
      <c r="A78" s="1103"/>
      <c r="B78" s="1102" t="s">
        <v>12</v>
      </c>
      <c r="C78" s="1704" t="s">
        <v>74</v>
      </c>
      <c r="D78" s="1704"/>
      <c r="E78" s="1704"/>
      <c r="F78" s="1704"/>
      <c r="G78" s="1704"/>
      <c r="H78" s="1704"/>
      <c r="I78" s="1704"/>
      <c r="J78" s="1704"/>
    </row>
    <row r="79" spans="1:10" s="1102" customFormat="1" ht="16.5" customHeight="1" x14ac:dyDescent="0.2">
      <c r="A79" s="1103"/>
      <c r="C79" s="1104"/>
      <c r="D79" s="1104"/>
      <c r="E79" s="1104"/>
      <c r="F79" s="1104"/>
      <c r="G79" s="1104"/>
      <c r="H79" s="1104"/>
      <c r="I79" s="1104"/>
      <c r="J79" s="1104"/>
    </row>
    <row r="80" spans="1:10" s="1102" customFormat="1" ht="16.5" customHeight="1" x14ac:dyDescent="0.2">
      <c r="A80" s="1103"/>
      <c r="B80" s="1103"/>
      <c r="C80" s="1704" t="s">
        <v>75</v>
      </c>
      <c r="D80" s="1704"/>
      <c r="E80" s="1704"/>
      <c r="F80" s="1704"/>
      <c r="G80" s="1704"/>
      <c r="H80" s="1704"/>
      <c r="I80" s="1704"/>
      <c r="J80" s="1704"/>
    </row>
    <row r="81" spans="1:13" s="1102" customFormat="1" ht="16.5" customHeight="1" x14ac:dyDescent="0.2">
      <c r="A81" s="1103"/>
      <c r="B81" s="1103"/>
      <c r="C81" s="1104"/>
      <c r="D81" s="1104"/>
      <c r="E81" s="1104"/>
      <c r="F81" s="1104"/>
      <c r="G81" s="1104"/>
      <c r="H81" s="1104"/>
      <c r="I81" s="1104"/>
      <c r="J81" s="1104"/>
    </row>
    <row r="82" spans="1:13" s="1102" customFormat="1" ht="16.5" customHeight="1" x14ac:dyDescent="0.2">
      <c r="A82" s="1103"/>
      <c r="B82" s="1103"/>
      <c r="C82" s="1704" t="s">
        <v>76</v>
      </c>
      <c r="D82" s="1704"/>
      <c r="E82" s="1704"/>
      <c r="F82" s="1704"/>
      <c r="G82" s="1704"/>
      <c r="H82" s="1704"/>
      <c r="I82" s="1704"/>
      <c r="J82" s="1704"/>
    </row>
    <row r="83" spans="1:13" s="1102" customFormat="1" ht="16.5" customHeight="1" x14ac:dyDescent="0.2">
      <c r="A83" s="1103"/>
      <c r="B83" s="1103"/>
      <c r="C83" s="1104"/>
      <c r="D83" s="1104"/>
      <c r="E83" s="1104"/>
      <c r="F83" s="1104"/>
      <c r="G83" s="1104"/>
      <c r="H83" s="1104"/>
      <c r="I83" s="1104"/>
      <c r="J83" s="1104"/>
    </row>
    <row r="84" spans="1:13" s="1102" customFormat="1" ht="16.5" customHeight="1" x14ac:dyDescent="0.2">
      <c r="A84" s="1103"/>
      <c r="B84" s="1103"/>
      <c r="C84" s="1715" t="s">
        <v>77</v>
      </c>
      <c r="D84" s="1715"/>
      <c r="E84" s="1715"/>
      <c r="F84" s="1715"/>
      <c r="G84" s="1715"/>
      <c r="H84" s="1715"/>
      <c r="I84" s="1715"/>
      <c r="J84" s="1715"/>
    </row>
    <row r="85" spans="1:13" s="1102" customFormat="1" ht="16.5" customHeight="1" x14ac:dyDescent="0.2">
      <c r="A85" s="1103"/>
      <c r="B85" s="1103"/>
      <c r="C85" s="1104"/>
      <c r="D85" s="1104"/>
      <c r="E85" s="1104"/>
      <c r="F85" s="1104"/>
      <c r="G85" s="1104"/>
      <c r="H85" s="1104"/>
      <c r="I85" s="1104"/>
      <c r="J85" s="1104"/>
    </row>
    <row r="86" spans="1:13" s="1102" customFormat="1" ht="16.5" customHeight="1" x14ac:dyDescent="0.2">
      <c r="A86" s="1103"/>
      <c r="B86" s="1103"/>
      <c r="C86" s="1704" t="s">
        <v>78</v>
      </c>
      <c r="D86" s="1704"/>
      <c r="E86" s="1704"/>
      <c r="F86" s="1704"/>
      <c r="G86" s="1704"/>
      <c r="H86" s="1704"/>
      <c r="I86" s="1111"/>
      <c r="J86" s="1111"/>
    </row>
    <row r="87" spans="1:13" s="1102" customFormat="1" ht="16.5" customHeight="1" x14ac:dyDescent="0.25">
      <c r="A87" s="1103"/>
      <c r="B87" s="1103"/>
      <c r="I87" s="1111"/>
      <c r="J87" s="1111"/>
      <c r="K87" s="1080"/>
      <c r="L87" s="1080"/>
      <c r="M87" s="1080"/>
    </row>
    <row r="88" spans="1:13" s="1102" customFormat="1" ht="16.5" customHeight="1" x14ac:dyDescent="0.25">
      <c r="A88" s="1103"/>
      <c r="B88" s="1103"/>
      <c r="C88" s="1704" t="s">
        <v>79</v>
      </c>
      <c r="D88" s="1704"/>
      <c r="E88" s="1704"/>
      <c r="F88" s="1704"/>
      <c r="G88" s="1704"/>
      <c r="H88" s="1704"/>
      <c r="I88" s="1111"/>
      <c r="J88" s="1111"/>
      <c r="K88" s="1080"/>
      <c r="L88" s="1080"/>
      <c r="M88" s="1080"/>
    </row>
    <row r="89" spans="1:13" s="1102" customFormat="1" ht="16.5" customHeight="1" x14ac:dyDescent="0.25">
      <c r="A89" s="1103"/>
      <c r="B89" s="1103"/>
      <c r="C89" s="1111"/>
      <c r="D89" s="1111"/>
      <c r="E89" s="1111"/>
      <c r="F89" s="1111"/>
      <c r="G89" s="1111"/>
      <c r="H89" s="1111"/>
      <c r="I89" s="1111"/>
      <c r="J89" s="1111"/>
      <c r="K89" s="1080"/>
      <c r="L89" s="1080"/>
      <c r="M89" s="1080"/>
    </row>
    <row r="90" spans="1:13" s="1102" customFormat="1" ht="16.5" customHeight="1" x14ac:dyDescent="0.25">
      <c r="A90" s="1103"/>
      <c r="B90" s="1103"/>
      <c r="C90" s="1704" t="s">
        <v>80</v>
      </c>
      <c r="D90" s="1704"/>
      <c r="E90" s="1704"/>
      <c r="F90" s="1704"/>
      <c r="G90" s="1704"/>
      <c r="H90" s="1704"/>
      <c r="I90" s="1111"/>
      <c r="J90" s="1111"/>
      <c r="K90" s="1080"/>
      <c r="L90" s="1080"/>
      <c r="M90" s="1080"/>
    </row>
    <row r="91" spans="1:13" ht="12" customHeight="1" x14ac:dyDescent="0.25">
      <c r="A91" s="1103"/>
      <c r="B91" s="1103"/>
      <c r="C91" s="1104"/>
      <c r="D91" s="1104"/>
      <c r="E91" s="1104"/>
      <c r="F91" s="1104"/>
      <c r="G91" s="1104"/>
      <c r="H91" s="1104"/>
      <c r="I91" s="1111"/>
      <c r="J91" s="1111"/>
    </row>
    <row r="92" spans="1:13" ht="12" customHeight="1" x14ac:dyDescent="0.25"/>
    <row r="93" spans="1:13" ht="12" customHeight="1" x14ac:dyDescent="0.25"/>
    <row r="94" spans="1:13" ht="12" customHeight="1" x14ac:dyDescent="0.25"/>
    <row r="95" spans="1:13" ht="12" customHeight="1" x14ac:dyDescent="0.25">
      <c r="A95" s="1712"/>
      <c r="B95" s="1712"/>
      <c r="C95" s="1712"/>
      <c r="D95" s="1712"/>
      <c r="E95" s="1712"/>
      <c r="F95" s="1712"/>
      <c r="G95" s="1712"/>
      <c r="H95" s="1712"/>
      <c r="I95" s="1712"/>
      <c r="J95" s="1712"/>
    </row>
    <row r="96" spans="1:13" ht="12" customHeight="1" x14ac:dyDescent="0.25">
      <c r="A96" s="1712"/>
      <c r="B96" s="1712"/>
      <c r="C96" s="1712"/>
      <c r="D96" s="1712"/>
      <c r="E96" s="1712"/>
      <c r="F96" s="1712"/>
      <c r="G96" s="1712"/>
      <c r="H96" s="1712"/>
      <c r="I96" s="1712"/>
      <c r="J96" s="1712"/>
    </row>
    <row r="97" spans="1:12" ht="12" customHeight="1" x14ac:dyDescent="0.25">
      <c r="A97" s="1712"/>
      <c r="B97" s="1712"/>
      <c r="C97" s="1712"/>
      <c r="D97" s="1712"/>
      <c r="E97" s="1712"/>
      <c r="F97" s="1712"/>
      <c r="G97" s="1712"/>
      <c r="H97" s="1712"/>
      <c r="I97" s="1712"/>
      <c r="J97" s="1712"/>
    </row>
    <row r="98" spans="1:12" ht="12" customHeight="1" x14ac:dyDescent="0.25">
      <c r="A98" s="1712"/>
      <c r="B98" s="1712"/>
      <c r="C98" s="1712"/>
      <c r="D98" s="1712"/>
      <c r="E98" s="1712"/>
      <c r="F98" s="1712"/>
      <c r="G98" s="1712"/>
      <c r="H98" s="1712"/>
      <c r="I98" s="1712"/>
      <c r="J98" s="1712"/>
    </row>
    <row r="99" spans="1:12" ht="45" customHeight="1" x14ac:dyDescent="0.25">
      <c r="A99" s="1712"/>
      <c r="B99" s="1712"/>
      <c r="C99" s="1712"/>
      <c r="D99" s="1712"/>
      <c r="E99" s="1712"/>
      <c r="F99" s="1712"/>
      <c r="G99" s="1712"/>
      <c r="H99" s="1712"/>
      <c r="I99" s="1712"/>
      <c r="J99" s="1712"/>
    </row>
    <row r="100" spans="1:12" ht="20.100000000000001" customHeight="1" x14ac:dyDescent="0.25">
      <c r="A100" s="1712"/>
      <c r="B100" s="1712"/>
      <c r="C100" s="1712"/>
      <c r="D100" s="1712"/>
      <c r="E100" s="1712"/>
      <c r="F100" s="1712"/>
      <c r="G100" s="1712"/>
      <c r="H100" s="1712"/>
      <c r="I100" s="1712"/>
      <c r="J100" s="1712"/>
    </row>
    <row r="101" spans="1:12" ht="20.100000000000001" customHeight="1" x14ac:dyDescent="0.25">
      <c r="A101" s="1713" t="s">
        <v>81</v>
      </c>
      <c r="B101" s="1713"/>
      <c r="C101" s="1713"/>
      <c r="D101" s="1713"/>
      <c r="E101" s="1713"/>
      <c r="F101" s="1090"/>
      <c r="G101" s="1090"/>
      <c r="H101" s="1112" t="str">
        <f>H6</f>
        <v>Certificado N°</v>
      </c>
      <c r="I101" s="1714">
        <f>I6</f>
        <v>0</v>
      </c>
      <c r="J101" s="1714"/>
    </row>
    <row r="102" spans="1:12" ht="12" customHeight="1" x14ac:dyDescent="0.25">
      <c r="A102" s="1113"/>
      <c r="B102" s="1113"/>
      <c r="C102" s="1113"/>
      <c r="D102" s="1113"/>
      <c r="E102" s="1113"/>
      <c r="F102" s="1090"/>
      <c r="G102" s="1090"/>
      <c r="H102" s="1090"/>
      <c r="I102" s="1090"/>
      <c r="J102" s="1100"/>
    </row>
    <row r="103" spans="1:12" ht="15" customHeight="1" x14ac:dyDescent="0.25">
      <c r="A103" s="1705" t="s">
        <v>345</v>
      </c>
      <c r="B103" s="1705"/>
      <c r="C103" s="1705"/>
      <c r="D103" s="1705"/>
      <c r="E103" s="1705"/>
      <c r="F103" s="1705"/>
      <c r="G103" s="1705"/>
      <c r="H103" s="1705"/>
      <c r="I103" s="1705"/>
      <c r="J103" s="1705"/>
    </row>
    <row r="104" spans="1:12" ht="12" customHeight="1" thickBot="1" x14ac:dyDescent="0.3">
      <c r="A104" s="1090"/>
      <c r="B104" s="1090"/>
      <c r="C104" s="1090"/>
      <c r="D104" s="1090"/>
      <c r="E104" s="1090"/>
      <c r="F104" s="1090"/>
      <c r="G104" s="1090"/>
      <c r="H104" s="1090"/>
      <c r="I104" s="1090"/>
      <c r="J104" s="1100"/>
    </row>
    <row r="105" spans="1:12" ht="16.5" customHeight="1" thickBot="1" x14ac:dyDescent="0.3">
      <c r="A105" s="1090"/>
      <c r="B105" s="1719" t="s">
        <v>465</v>
      </c>
      <c r="C105" s="1720"/>
      <c r="D105" s="1716" t="s">
        <v>43</v>
      </c>
      <c r="E105" s="1717"/>
      <c r="F105" s="1717"/>
      <c r="G105" s="1716" t="s">
        <v>44</v>
      </c>
      <c r="H105" s="1717"/>
      <c r="I105" s="1718"/>
      <c r="J105" s="1100"/>
      <c r="L105" s="1114"/>
    </row>
    <row r="106" spans="1:12" ht="30" customHeight="1" thickBot="1" x14ac:dyDescent="0.3">
      <c r="B106" s="1721" t="e">
        <f>'RT03-F11'!P33</f>
        <v>#DIV/0!</v>
      </c>
      <c r="C106" s="1722"/>
      <c r="D106" s="1723" t="e">
        <f>'RT03-F11'!P34</f>
        <v>#DIV/0!</v>
      </c>
      <c r="E106" s="1724"/>
      <c r="F106" s="1725"/>
      <c r="G106" s="1726" t="e">
        <f>'RT03-F11'!P35</f>
        <v>#DIV/0!</v>
      </c>
      <c r="H106" s="1727"/>
      <c r="I106" s="1728"/>
      <c r="J106" s="1100"/>
    </row>
    <row r="107" spans="1:12" ht="12" customHeight="1" x14ac:dyDescent="0.25">
      <c r="A107" s="1090"/>
      <c r="B107" s="1090"/>
      <c r="C107" s="1087"/>
      <c r="D107" s="1090"/>
      <c r="E107" s="1090"/>
      <c r="F107" s="1090"/>
      <c r="G107" s="1090"/>
      <c r="H107" s="1090"/>
      <c r="I107" s="1090"/>
      <c r="J107" s="1100"/>
    </row>
    <row r="108" spans="1:12" ht="20.100000000000001" customHeight="1" x14ac:dyDescent="0.25">
      <c r="A108" s="1713" t="s">
        <v>82</v>
      </c>
      <c r="B108" s="1713"/>
      <c r="C108" s="1713"/>
      <c r="D108" s="1713"/>
      <c r="E108" s="1713"/>
      <c r="F108" s="1090"/>
      <c r="G108" s="1090"/>
      <c r="H108" s="1090"/>
      <c r="I108" s="1090"/>
      <c r="J108" s="1115"/>
    </row>
    <row r="109" spans="1:12" ht="12" customHeight="1" x14ac:dyDescent="0.25">
      <c r="A109" s="1099"/>
      <c r="B109" s="1090"/>
      <c r="C109" s="1090"/>
      <c r="D109" s="1090"/>
      <c r="E109" s="1090"/>
      <c r="F109" s="1090"/>
      <c r="G109" s="1090"/>
      <c r="H109" s="1090"/>
      <c r="I109" s="1090"/>
      <c r="J109" s="1100"/>
    </row>
    <row r="110" spans="1:12" ht="30" customHeight="1" x14ac:dyDescent="0.25">
      <c r="A110" s="1729" t="s">
        <v>559</v>
      </c>
      <c r="B110" s="1729"/>
      <c r="C110" s="1729"/>
      <c r="D110" s="1729"/>
      <c r="E110" s="1729"/>
      <c r="F110" s="1729"/>
      <c r="G110" s="1729"/>
      <c r="H110" s="1729"/>
      <c r="I110" s="1729"/>
      <c r="J110" s="1114"/>
    </row>
    <row r="111" spans="1:12" ht="17.25" customHeight="1" x14ac:dyDescent="0.25">
      <c r="A111" s="1729"/>
      <c r="B111" s="1729"/>
      <c r="C111" s="1729"/>
      <c r="D111" s="1729"/>
      <c r="E111" s="1729"/>
      <c r="F111" s="1729"/>
      <c r="G111" s="1729"/>
      <c r="H111" s="1729"/>
      <c r="I111" s="1729"/>
    </row>
    <row r="112" spans="1:12" s="1117" customFormat="1" ht="20.100000000000001" customHeight="1" x14ac:dyDescent="0.3">
      <c r="A112" s="1713" t="s">
        <v>83</v>
      </c>
      <c r="B112" s="1713"/>
      <c r="C112" s="1713"/>
      <c r="D112" s="1713"/>
      <c r="E112" s="1713"/>
      <c r="F112" s="1116"/>
      <c r="G112" s="1116"/>
      <c r="J112" s="1118"/>
    </row>
    <row r="113" spans="1:13" ht="12" customHeight="1" x14ac:dyDescent="0.25">
      <c r="A113" s="1113"/>
      <c r="B113" s="1113"/>
      <c r="C113" s="1113"/>
      <c r="D113" s="1113"/>
      <c r="E113" s="1113"/>
      <c r="F113" s="1090"/>
      <c r="G113" s="1090"/>
      <c r="J113" s="1100"/>
    </row>
    <row r="114" spans="1:13" ht="32.25" customHeight="1" x14ac:dyDescent="0.25">
      <c r="A114" s="1705" t="s">
        <v>561</v>
      </c>
      <c r="B114" s="1705"/>
      <c r="C114" s="1705"/>
      <c r="D114" s="1705"/>
      <c r="E114" s="1705"/>
      <c r="F114" s="1705"/>
      <c r="G114" s="1705"/>
      <c r="H114" s="1705"/>
      <c r="I114" s="1705"/>
      <c r="J114" s="1705"/>
    </row>
    <row r="115" spans="1:13" ht="20.100000000000001" customHeight="1" thickBot="1" x14ac:dyDescent="0.3">
      <c r="A115" s="1119"/>
      <c r="B115" s="1119"/>
      <c r="C115" s="1119"/>
      <c r="D115" s="1119"/>
      <c r="E115" s="1119"/>
      <c r="F115" s="1119"/>
      <c r="G115" s="1119"/>
      <c r="H115" s="1119"/>
      <c r="I115" s="1119"/>
      <c r="J115" s="1119"/>
    </row>
    <row r="116" spans="1:13" ht="24.95" customHeight="1" thickBot="1" x14ac:dyDescent="0.3">
      <c r="A116" s="1716" t="s">
        <v>84</v>
      </c>
      <c r="B116" s="1717"/>
      <c r="C116" s="1718"/>
      <c r="D116" s="1716" t="s">
        <v>54</v>
      </c>
      <c r="E116" s="1718"/>
      <c r="F116" s="1120" t="s">
        <v>85</v>
      </c>
      <c r="G116" s="1716" t="s">
        <v>86</v>
      </c>
      <c r="H116" s="1717"/>
      <c r="I116" s="1716" t="s">
        <v>87</v>
      </c>
      <c r="J116" s="1718"/>
    </row>
    <row r="117" spans="1:13" ht="24.95" customHeight="1" thickBot="1" x14ac:dyDescent="0.3">
      <c r="A117" s="1745" t="s">
        <v>45</v>
      </c>
      <c r="B117" s="1746"/>
      <c r="C117" s="1747"/>
      <c r="D117" s="1748" t="e">
        <f>'RT03-F11'!D22</f>
        <v>#N/A</v>
      </c>
      <c r="E117" s="1736"/>
      <c r="F117" s="1183" t="s">
        <v>468</v>
      </c>
      <c r="G117" s="1749" t="e">
        <f>'RT03-F11'!D24</f>
        <v>#N/A</v>
      </c>
      <c r="H117" s="1734"/>
      <c r="I117" s="1749" t="str">
        <f>DATOS!L31</f>
        <v>INM 2286</v>
      </c>
      <c r="J117" s="1734"/>
    </row>
    <row r="118" spans="1:13" ht="24.95" customHeight="1" thickBot="1" x14ac:dyDescent="0.3">
      <c r="A118" s="1739" t="s">
        <v>177</v>
      </c>
      <c r="B118" s="1740"/>
      <c r="C118" s="1741"/>
      <c r="D118" s="1733" t="str">
        <f>DATOS!D38</f>
        <v xml:space="preserve">Lufft </v>
      </c>
      <c r="E118" s="1734"/>
      <c r="F118" s="1183" t="s">
        <v>179</v>
      </c>
      <c r="G118" s="1735" t="e">
        <f>'RT03-F11'!B8</f>
        <v>#N/A</v>
      </c>
      <c r="H118" s="1736"/>
      <c r="I118" s="1737" t="str">
        <f>DATOS!L42</f>
        <v>INM 2549</v>
      </c>
      <c r="J118" s="1738"/>
    </row>
    <row r="119" spans="1:13" ht="24.95" customHeight="1" thickBot="1" x14ac:dyDescent="0.3">
      <c r="A119" s="1730" t="s">
        <v>178</v>
      </c>
      <c r="B119" s="1731"/>
      <c r="C119" s="1732"/>
      <c r="D119" s="1733" t="str">
        <f>DATOS!D42</f>
        <v xml:space="preserve">Lufft </v>
      </c>
      <c r="E119" s="1734"/>
      <c r="F119" s="1183" t="s">
        <v>179</v>
      </c>
      <c r="G119" s="1735" t="e">
        <f>'RT03-F11'!B12</f>
        <v>#N/A</v>
      </c>
      <c r="H119" s="1736"/>
      <c r="I119" s="1737" t="str">
        <f>DATOS!L38</f>
        <v>INM 2550</v>
      </c>
      <c r="J119" s="1738"/>
    </row>
    <row r="120" spans="1:13" ht="24.95" customHeight="1" thickBot="1" x14ac:dyDescent="0.3">
      <c r="A120" s="1739" t="s">
        <v>33</v>
      </c>
      <c r="B120" s="1740"/>
      <c r="C120" s="1741"/>
      <c r="D120" s="1742" t="str">
        <f>DATOS!D109</f>
        <v>Brand</v>
      </c>
      <c r="E120" s="1743"/>
      <c r="F120" s="1184" t="s">
        <v>180</v>
      </c>
      <c r="G120" s="1744" t="e">
        <f>'RT03-F11'!B14</f>
        <v>#N/A</v>
      </c>
      <c r="H120" s="1743"/>
      <c r="I120" s="1742" t="s">
        <v>449</v>
      </c>
      <c r="J120" s="1743"/>
    </row>
    <row r="121" spans="1:13" ht="15" customHeight="1" thickBot="1" x14ac:dyDescent="0.3">
      <c r="A121" s="1739" t="s">
        <v>88</v>
      </c>
      <c r="B121" s="1740"/>
      <c r="C121" s="1740"/>
      <c r="D121" s="1740"/>
      <c r="E121" s="1740"/>
      <c r="F121" s="1740"/>
      <c r="G121" s="1740"/>
      <c r="H121" s="1741"/>
      <c r="I121" s="1733" t="s">
        <v>89</v>
      </c>
      <c r="J121" s="1734"/>
    </row>
    <row r="122" spans="1:13" ht="12" customHeight="1" x14ac:dyDescent="0.25">
      <c r="B122" s="1086"/>
      <c r="C122" s="1086"/>
      <c r="D122" s="1121"/>
      <c r="E122" s="1121"/>
      <c r="F122" s="1087"/>
      <c r="G122" s="1121"/>
      <c r="H122" s="1121"/>
      <c r="I122" s="1121"/>
      <c r="J122" s="1121"/>
      <c r="K122" s="1122"/>
      <c r="L122" s="1122"/>
      <c r="M122" s="1122"/>
    </row>
    <row r="123" spans="1:13" s="1117" customFormat="1" ht="20.100000000000001" customHeight="1" x14ac:dyDescent="0.3">
      <c r="A123" s="1713" t="s">
        <v>90</v>
      </c>
      <c r="B123" s="1713"/>
      <c r="C123" s="1713"/>
      <c r="D123" s="1713"/>
      <c r="E123" s="1713"/>
      <c r="F123" s="1123"/>
      <c r="G123" s="1123"/>
      <c r="H123" s="1123"/>
      <c r="I123" s="1123"/>
      <c r="J123" s="1118"/>
      <c r="K123" s="1124"/>
      <c r="L123" s="1124"/>
      <c r="M123" s="1124"/>
    </row>
    <row r="124" spans="1:13" s="1117" customFormat="1" ht="12" customHeight="1" x14ac:dyDescent="0.3">
      <c r="A124" s="1125"/>
      <c r="B124" s="1125"/>
      <c r="C124" s="1125"/>
      <c r="D124" s="1125"/>
      <c r="E124" s="1125"/>
      <c r="F124" s="1123"/>
      <c r="G124" s="1123"/>
      <c r="H124" s="1123"/>
      <c r="I124" s="1123"/>
      <c r="J124" s="1118"/>
      <c r="K124" s="1124"/>
      <c r="L124" s="1124"/>
      <c r="M124" s="1124"/>
    </row>
    <row r="125" spans="1:13" ht="15" customHeight="1" thickBot="1" x14ac:dyDescent="0.3">
      <c r="A125" s="1757" t="s">
        <v>560</v>
      </c>
      <c r="B125" s="1757"/>
      <c r="C125" s="1757"/>
      <c r="D125" s="1757"/>
      <c r="E125" s="1757"/>
      <c r="F125" s="1757"/>
      <c r="G125" s="1757"/>
      <c r="H125" s="1757"/>
      <c r="I125" s="1757"/>
      <c r="J125" s="1100"/>
      <c r="K125" s="1122"/>
      <c r="L125" s="1122"/>
      <c r="M125" s="1122"/>
    </row>
    <row r="126" spans="1:13" ht="30" customHeight="1" thickBot="1" x14ac:dyDescent="0.3">
      <c r="A126" s="1126" t="s">
        <v>34</v>
      </c>
      <c r="B126" s="1127"/>
      <c r="C126" s="1126" t="s">
        <v>35</v>
      </c>
      <c r="D126" s="1127"/>
      <c r="E126" s="1126"/>
      <c r="F126" s="1128" t="s">
        <v>63</v>
      </c>
      <c r="G126" s="1129"/>
      <c r="H126" s="1128" t="s">
        <v>346</v>
      </c>
      <c r="I126" s="1130"/>
    </row>
    <row r="127" spans="1:13" s="1122" customFormat="1" ht="20.100000000000001" customHeight="1" thickBot="1" x14ac:dyDescent="0.3">
      <c r="A127" s="1131" t="e">
        <f>'RT03-F11'!$F$25</f>
        <v>#N/A</v>
      </c>
      <c r="B127" s="1167"/>
      <c r="C127" s="1752">
        <f>'RT03-F11'!M26</f>
        <v>18927.055</v>
      </c>
      <c r="D127" s="1752"/>
      <c r="E127" s="1168" t="s">
        <v>4</v>
      </c>
      <c r="F127" s="1169" t="e">
        <f>'RT03-F11'!C117</f>
        <v>#N/A</v>
      </c>
      <c r="G127" s="1170" t="s">
        <v>4</v>
      </c>
      <c r="H127" s="1195" t="e">
        <f>IF('RT03-F11'!F117&lt;=(DATOS!Q41),"6,3","AJUSTAR")</f>
        <v>#N/A</v>
      </c>
      <c r="I127" s="1170" t="s">
        <v>4</v>
      </c>
      <c r="J127" s="1080"/>
      <c r="K127" s="1080"/>
      <c r="L127" s="1080"/>
      <c r="M127" s="1080"/>
    </row>
    <row r="128" spans="1:13" s="1122" customFormat="1" ht="20.100000000000001" customHeight="1" thickBot="1" x14ac:dyDescent="0.3">
      <c r="A128" s="1131" t="e">
        <f>'RT03-F11'!$F$25</f>
        <v>#N/A</v>
      </c>
      <c r="B128" s="1167"/>
      <c r="C128" s="1755">
        <f>'RT03-F11'!M24</f>
        <v>1155.0000427166315</v>
      </c>
      <c r="D128" s="1756"/>
      <c r="E128" s="1171" t="s">
        <v>568</v>
      </c>
      <c r="F128" s="1172" t="e">
        <f>'RT03-F11'!C118</f>
        <v>#N/A</v>
      </c>
      <c r="G128" s="1173" t="s">
        <v>568</v>
      </c>
      <c r="H128" s="1195" t="e">
        <f>IF('RT03-F11'!F118&lt;=(DATOS!R41),"0,38","AJUSTAR")</f>
        <v>#N/A</v>
      </c>
      <c r="I128" s="1173" t="s">
        <v>568</v>
      </c>
      <c r="K128" s="1080"/>
      <c r="L128" s="1080"/>
      <c r="M128" s="1080"/>
    </row>
    <row r="129" spans="1:13" s="1122" customFormat="1" ht="20.100000000000001" customHeight="1" thickBot="1" x14ac:dyDescent="0.3">
      <c r="A129" s="1131" t="e">
        <f>'RT03-F11'!$F$25</f>
        <v>#N/A</v>
      </c>
      <c r="B129" s="1174"/>
      <c r="C129" s="1753">
        <f>'RT03-F11'!M23</f>
        <v>5</v>
      </c>
      <c r="D129" s="1754"/>
      <c r="E129" s="1171" t="s">
        <v>9</v>
      </c>
      <c r="F129" s="1175" t="e">
        <f>'RT03-F11'!C119</f>
        <v>#N/A</v>
      </c>
      <c r="G129" s="1173" t="s">
        <v>9</v>
      </c>
      <c r="H129" s="1195" t="e">
        <f>IF('RT03-F11'!F119&lt;=(DATOS!S41),"0,0017","AJUSTAR")</f>
        <v>#N/A</v>
      </c>
      <c r="I129" s="1173" t="s">
        <v>9</v>
      </c>
      <c r="K129" s="1080"/>
      <c r="L129" s="1080"/>
      <c r="M129" s="1080"/>
    </row>
    <row r="130" spans="1:13" ht="12" customHeight="1" x14ac:dyDescent="0.25">
      <c r="A130" s="1132"/>
      <c r="B130" s="1133"/>
      <c r="C130" s="1134"/>
      <c r="D130" s="1134"/>
      <c r="E130" s="1135"/>
      <c r="F130" s="1134"/>
      <c r="G130" s="1135"/>
      <c r="H130" s="1136"/>
      <c r="I130" s="1135"/>
      <c r="J130" s="1122"/>
    </row>
    <row r="131" spans="1:13" ht="15" customHeight="1" thickBot="1" x14ac:dyDescent="0.3">
      <c r="A131" s="1137" t="s">
        <v>577</v>
      </c>
      <c r="B131" s="1138"/>
      <c r="C131" s="1138"/>
      <c r="D131" s="1138"/>
      <c r="E131" s="1138"/>
      <c r="F131" s="1138"/>
      <c r="G131" s="1138"/>
      <c r="H131" s="1138"/>
      <c r="I131" s="1138"/>
    </row>
    <row r="132" spans="1:13" ht="30" customHeight="1" thickBot="1" x14ac:dyDescent="0.3">
      <c r="A132" s="1139" t="s">
        <v>34</v>
      </c>
      <c r="B132" s="1140"/>
      <c r="C132" s="1139" t="s">
        <v>35</v>
      </c>
      <c r="D132" s="1140"/>
      <c r="E132" s="1139"/>
      <c r="F132" s="1139" t="s">
        <v>63</v>
      </c>
      <c r="G132" s="1140"/>
      <c r="H132" s="1139" t="s">
        <v>347</v>
      </c>
      <c r="I132" s="1141"/>
    </row>
    <row r="133" spans="1:13" ht="20.100000000000001" customHeight="1" thickBot="1" x14ac:dyDescent="0.3">
      <c r="A133" s="1176" t="e">
        <f>A127</f>
        <v>#N/A</v>
      </c>
      <c r="B133" s="1174"/>
      <c r="C133" s="1177">
        <f>C127</f>
        <v>18927.055</v>
      </c>
      <c r="D133" s="1177"/>
      <c r="E133" s="1171" t="s">
        <v>4</v>
      </c>
      <c r="F133" s="1178" t="e">
        <f>'CALIBRACIÓN DESPUES DE AJUSTE'!C117</f>
        <v>#N/A</v>
      </c>
      <c r="G133" s="1171" t="s">
        <v>4</v>
      </c>
      <c r="H133" s="1179" t="e">
        <f>IF('CALIBRACIÓN DESPUES DE AJUSTE'!F117&lt;=(DATOS!Q41),"6,3","AJUSTAR")</f>
        <v>#N/A</v>
      </c>
      <c r="I133" s="1171" t="s">
        <v>4</v>
      </c>
    </row>
    <row r="134" spans="1:13" ht="20.100000000000001" customHeight="1" thickBot="1" x14ac:dyDescent="0.3">
      <c r="A134" s="1176" t="e">
        <f>A128</f>
        <v>#N/A</v>
      </c>
      <c r="B134" s="1174"/>
      <c r="C134" s="1177">
        <f>C128</f>
        <v>1155.0000427166315</v>
      </c>
      <c r="D134" s="1177"/>
      <c r="E134" s="1171" t="s">
        <v>568</v>
      </c>
      <c r="F134" s="1180" t="e">
        <f>'CALIBRACIÓN DESPUES DE AJUSTE'!C118</f>
        <v>#N/A</v>
      </c>
      <c r="G134" s="1171" t="s">
        <v>568</v>
      </c>
      <c r="H134" s="1179" t="e">
        <f>IF('CALIBRACIÓN DESPUES DE AJUSTE'!F118&lt;=(DATOS!R41),"0,38","AJUSTAR")</f>
        <v>#N/A</v>
      </c>
      <c r="I134" s="1171" t="s">
        <v>568</v>
      </c>
    </row>
    <row r="135" spans="1:13" ht="20.100000000000001" customHeight="1" thickBot="1" x14ac:dyDescent="0.3">
      <c r="A135" s="1176" t="e">
        <f>A129</f>
        <v>#N/A</v>
      </c>
      <c r="B135" s="1174"/>
      <c r="C135" s="1181">
        <f>C129</f>
        <v>5</v>
      </c>
      <c r="D135" s="1177"/>
      <c r="E135" s="1171" t="s">
        <v>9</v>
      </c>
      <c r="F135" s="1182" t="e">
        <f>'CALIBRACIÓN DESPUES DE AJUSTE'!C119</f>
        <v>#N/A</v>
      </c>
      <c r="G135" s="1171" t="s">
        <v>9</v>
      </c>
      <c r="H135" s="1179" t="e">
        <f>IF('CALIBRACIÓN DESPUES DE AJUSTE'!F119&lt;=(DATOS!S41),"0,0017","AJUSTAR")</f>
        <v>#N/A</v>
      </c>
      <c r="I135" s="1171" t="s">
        <v>9</v>
      </c>
    </row>
    <row r="136" spans="1:13" ht="18" customHeight="1" x14ac:dyDescent="0.25"/>
    <row r="137" spans="1:13" ht="26.25" customHeight="1" x14ac:dyDescent="0.25"/>
    <row r="138" spans="1:13" ht="65.099999999999994" customHeight="1" thickBot="1" x14ac:dyDescent="0.3">
      <c r="A138" s="1142"/>
      <c r="B138" s="1142"/>
      <c r="C138" s="1142"/>
      <c r="D138" s="1142"/>
      <c r="E138" s="1142"/>
      <c r="F138" s="1142"/>
      <c r="G138" s="1142"/>
      <c r="H138" s="1142"/>
      <c r="I138" s="1142"/>
      <c r="J138" s="1142"/>
    </row>
    <row r="139" spans="1:13" ht="18" customHeight="1" thickBot="1" x14ac:dyDescent="0.3">
      <c r="A139" s="1750" t="s">
        <v>182</v>
      </c>
      <c r="B139" s="1750"/>
      <c r="C139" s="1750"/>
      <c r="D139" s="1750"/>
      <c r="E139" s="1750"/>
      <c r="F139" s="1143" t="e">
        <f>IF((F133)," SI","NO")</f>
        <v>#N/A</v>
      </c>
      <c r="H139" s="1083" t="str">
        <f>H6</f>
        <v>Certificado N°</v>
      </c>
      <c r="I139" s="1682">
        <f>I6</f>
        <v>0</v>
      </c>
      <c r="J139" s="1751"/>
    </row>
    <row r="140" spans="1:13" ht="15" customHeight="1" thickBot="1" x14ac:dyDescent="0.3">
      <c r="A140" s="1121"/>
      <c r="B140" s="1121"/>
      <c r="C140" s="1121"/>
      <c r="D140" s="1121"/>
      <c r="E140" s="1121"/>
      <c r="J140" s="1121"/>
    </row>
    <row r="141" spans="1:13" ht="15" customHeight="1" thickBot="1" x14ac:dyDescent="0.3">
      <c r="A141" s="1750" t="s">
        <v>348</v>
      </c>
      <c r="B141" s="1750"/>
      <c r="C141" s="1750"/>
      <c r="D141" s="1750"/>
      <c r="E141" s="1750"/>
      <c r="F141" s="1120"/>
      <c r="G141" s="1119"/>
      <c r="H141" s="1144"/>
      <c r="I141" s="1119"/>
      <c r="J141" s="1090"/>
    </row>
    <row r="142" spans="1:13" ht="15" customHeight="1" x14ac:dyDescent="0.25">
      <c r="A142" s="1145"/>
      <c r="B142" s="1145"/>
      <c r="C142" s="1145"/>
      <c r="D142" s="1145"/>
      <c r="E142" s="1145"/>
      <c r="F142" s="1119"/>
      <c r="G142" s="1119"/>
      <c r="H142" s="1144"/>
      <c r="I142" s="1119"/>
      <c r="J142" s="1090"/>
    </row>
    <row r="143" spans="1:13" ht="45" customHeight="1" thickBot="1" x14ac:dyDescent="0.3">
      <c r="A143" s="1689" t="s">
        <v>563</v>
      </c>
      <c r="B143" s="1689"/>
      <c r="C143" s="1689"/>
      <c r="D143" s="1689"/>
      <c r="E143" s="1689"/>
      <c r="F143" s="1689"/>
      <c r="G143" s="1689"/>
      <c r="H143" s="1689"/>
      <c r="I143" s="1689"/>
      <c r="J143" s="1689"/>
    </row>
    <row r="144" spans="1:13" ht="15" customHeight="1" thickBot="1" x14ac:dyDescent="0.3">
      <c r="A144" s="1146"/>
      <c r="B144" s="1146"/>
      <c r="C144" s="1146"/>
      <c r="D144" s="1146"/>
      <c r="E144" s="1146"/>
      <c r="F144" s="1146"/>
      <c r="G144" s="1146"/>
      <c r="H144" s="1146"/>
      <c r="I144" s="1146"/>
      <c r="J144" s="1147" t="s">
        <v>7</v>
      </c>
    </row>
    <row r="145" spans="1:13" ht="16.5" customHeight="1" thickBot="1" x14ac:dyDescent="0.3">
      <c r="A145" s="1683" t="s">
        <v>569</v>
      </c>
      <c r="B145" s="1683"/>
      <c r="C145" s="1683"/>
      <c r="D145" s="1683"/>
      <c r="E145" s="1683"/>
      <c r="F145" s="1683"/>
      <c r="G145" s="1684"/>
      <c r="H145" s="1148" t="e">
        <f>'VERIFICACIÓN DE LA ESCALA'!C57</f>
        <v>#N/A</v>
      </c>
      <c r="I145" s="1149" t="s">
        <v>64</v>
      </c>
      <c r="J145" s="1150" t="e">
        <f>'VERIFICACIÓN DE LA ESCALA'!F57</f>
        <v>#N/A</v>
      </c>
    </row>
    <row r="146" spans="1:13" ht="15" customHeight="1" thickBot="1" x14ac:dyDescent="0.3">
      <c r="A146" s="1090"/>
      <c r="B146" s="1090"/>
      <c r="C146" s="1090"/>
      <c r="D146" s="1090"/>
      <c r="E146" s="1090"/>
      <c r="F146" s="1090"/>
      <c r="H146" s="1151" t="e">
        <f>'VERIFICACIÓN DE LA ESCALA'!C58</f>
        <v>#N/A</v>
      </c>
      <c r="I146" s="1152" t="s">
        <v>467</v>
      </c>
      <c r="J146" s="1153" t="e">
        <f>'VERIFICACIÓN DE LA ESCALA'!F58</f>
        <v>#N/A</v>
      </c>
    </row>
    <row r="147" spans="1:13" ht="15" customHeight="1" x14ac:dyDescent="0.25">
      <c r="A147" s="1090"/>
      <c r="B147" s="1090"/>
      <c r="C147" s="1090"/>
      <c r="D147" s="1090"/>
      <c r="E147" s="1090"/>
      <c r="F147" s="1090"/>
      <c r="H147" s="1154"/>
      <c r="I147" s="1155"/>
      <c r="J147" s="1154"/>
    </row>
    <row r="148" spans="1:13" ht="12" customHeight="1" x14ac:dyDescent="0.25">
      <c r="A148" s="1687" t="s">
        <v>181</v>
      </c>
      <c r="B148" s="1687"/>
      <c r="C148" s="1687"/>
      <c r="D148" s="1687"/>
      <c r="E148" s="1687"/>
      <c r="F148" s="1687"/>
      <c r="G148" s="1088"/>
    </row>
    <row r="149" spans="1:13" ht="15" customHeight="1" x14ac:dyDescent="0.25">
      <c r="A149" s="1086"/>
      <c r="B149" s="1086"/>
      <c r="C149" s="1086"/>
      <c r="D149" s="1090"/>
      <c r="E149" s="1090"/>
      <c r="F149" s="1090"/>
      <c r="G149" s="1090"/>
      <c r="J149" s="1100"/>
    </row>
    <row r="150" spans="1:13" ht="15" customHeight="1" x14ac:dyDescent="0.25">
      <c r="A150" s="1705" t="s">
        <v>550</v>
      </c>
      <c r="B150" s="1705"/>
      <c r="C150" s="1705"/>
      <c r="D150" s="1705"/>
      <c r="E150" s="1705"/>
      <c r="F150" s="1705"/>
      <c r="G150" s="1705"/>
      <c r="H150" s="1705"/>
      <c r="I150" s="1705"/>
      <c r="J150" s="1705"/>
      <c r="K150" s="1095"/>
      <c r="L150" s="1095"/>
    </row>
    <row r="151" spans="1:13" ht="9.9499999999999993" customHeight="1" x14ac:dyDescent="0.25">
      <c r="A151" s="1156"/>
      <c r="B151" s="1156"/>
      <c r="C151" s="1156"/>
      <c r="D151" s="1156"/>
      <c r="E151" s="1156"/>
      <c r="F151" s="1156"/>
      <c r="G151" s="1156"/>
      <c r="H151" s="1156"/>
      <c r="I151" s="1156"/>
      <c r="J151" s="1156"/>
      <c r="K151" s="1095"/>
      <c r="L151" s="1095"/>
    </row>
    <row r="152" spans="1:13" ht="33.75" customHeight="1" x14ac:dyDescent="0.25">
      <c r="A152" s="1762" t="s">
        <v>564</v>
      </c>
      <c r="B152" s="1762"/>
      <c r="C152" s="1762"/>
      <c r="D152" s="1762"/>
      <c r="E152" s="1762"/>
      <c r="F152" s="1762"/>
      <c r="G152" s="1762"/>
      <c r="H152" s="1762"/>
      <c r="I152" s="1763">
        <f>'VERIFICACIÓN DE LA ESCALA'!I55</f>
        <v>0</v>
      </c>
      <c r="J152" s="1763"/>
      <c r="K152" s="1095"/>
      <c r="L152" s="1095"/>
    </row>
    <row r="153" spans="1:13" ht="9.9499999999999993" customHeight="1" x14ac:dyDescent="0.25">
      <c r="A153" s="1157"/>
      <c r="B153" s="1157"/>
      <c r="C153" s="1157"/>
      <c r="D153" s="1157"/>
      <c r="E153" s="1157"/>
      <c r="F153" s="1157"/>
      <c r="G153" s="1157"/>
      <c r="H153" s="1157"/>
      <c r="I153" s="1158"/>
      <c r="J153" s="1158"/>
      <c r="K153" s="1095"/>
      <c r="L153" s="1095"/>
    </row>
    <row r="154" spans="1:13" ht="33.75" customHeight="1" x14ac:dyDescent="0.25">
      <c r="A154" s="1705" t="s">
        <v>46</v>
      </c>
      <c r="B154" s="1705"/>
      <c r="C154" s="1705"/>
      <c r="D154" s="1705"/>
      <c r="E154" s="1705"/>
      <c r="F154" s="1705"/>
      <c r="G154" s="1705"/>
      <c r="H154" s="1705"/>
      <c r="I154" s="1705"/>
      <c r="J154" s="1705"/>
      <c r="K154" s="1095"/>
      <c r="L154" s="1095"/>
    </row>
    <row r="155" spans="1:13" ht="9.9499999999999993" customHeight="1" x14ac:dyDescent="0.25">
      <c r="A155" s="1156"/>
      <c r="B155" s="1156"/>
      <c r="C155" s="1156"/>
      <c r="D155" s="1156"/>
      <c r="E155" s="1156"/>
      <c r="F155" s="1156"/>
      <c r="G155" s="1156"/>
      <c r="H155" s="1156"/>
      <c r="I155" s="1156"/>
      <c r="J155" s="1156"/>
      <c r="K155" s="1095"/>
      <c r="L155" s="1095"/>
    </row>
    <row r="156" spans="1:13" ht="15" customHeight="1" x14ac:dyDescent="0.25">
      <c r="A156" s="1705" t="s">
        <v>59</v>
      </c>
      <c r="B156" s="1705"/>
      <c r="C156" s="1705"/>
      <c r="D156" s="1705"/>
      <c r="E156" s="1705"/>
      <c r="F156" s="1705"/>
      <c r="G156" s="1705"/>
      <c r="H156" s="1705"/>
      <c r="I156" s="1705"/>
      <c r="J156" s="1705"/>
      <c r="K156" s="1095"/>
      <c r="L156" s="1095"/>
    </row>
    <row r="157" spans="1:13" ht="9.9499999999999993" customHeight="1" x14ac:dyDescent="0.25">
      <c r="A157" s="1156"/>
      <c r="B157" s="1156"/>
      <c r="C157" s="1156"/>
      <c r="D157" s="1156"/>
      <c r="E157" s="1156"/>
      <c r="F157" s="1156"/>
      <c r="G157" s="1156"/>
      <c r="H157" s="1156"/>
      <c r="I157" s="1156"/>
      <c r="J157" s="1156"/>
      <c r="K157" s="1095"/>
      <c r="L157" s="1095"/>
    </row>
    <row r="158" spans="1:13" ht="50.1" customHeight="1" x14ac:dyDescent="0.25">
      <c r="A158" s="1705" t="s">
        <v>47</v>
      </c>
      <c r="B158" s="1705"/>
      <c r="C158" s="1705"/>
      <c r="D158" s="1705"/>
      <c r="E158" s="1705"/>
      <c r="F158" s="1705"/>
      <c r="G158" s="1705"/>
      <c r="H158" s="1705"/>
      <c r="I158" s="1705"/>
      <c r="J158" s="1705"/>
      <c r="K158" s="1095"/>
      <c r="L158" s="1095"/>
    </row>
    <row r="159" spans="1:13" ht="9.9499999999999993" customHeight="1" x14ac:dyDescent="0.25">
      <c r="A159" s="1156"/>
      <c r="B159" s="1156"/>
      <c r="C159" s="1156"/>
      <c r="D159" s="1156"/>
      <c r="E159" s="1156"/>
      <c r="F159" s="1156"/>
      <c r="G159" s="1156"/>
      <c r="H159" s="1156"/>
      <c r="I159" s="1156"/>
      <c r="J159" s="1156"/>
      <c r="K159" s="1095"/>
      <c r="L159" s="1095"/>
    </row>
    <row r="160" spans="1:13" ht="15" customHeight="1" x14ac:dyDescent="0.25">
      <c r="A160" s="1685" t="s">
        <v>566</v>
      </c>
      <c r="B160" s="1685"/>
      <c r="C160" s="1685"/>
      <c r="D160" s="1685"/>
      <c r="E160" s="1685"/>
      <c r="F160" s="1685"/>
      <c r="G160" s="1685"/>
      <c r="H160" s="1685"/>
      <c r="I160" s="1685"/>
      <c r="J160" s="1685"/>
      <c r="K160" s="1685"/>
      <c r="L160" s="1685"/>
      <c r="M160" s="1159"/>
    </row>
    <row r="161" spans="1:13" ht="21.75" customHeight="1" x14ac:dyDescent="0.25">
      <c r="A161" s="1685" t="s">
        <v>578</v>
      </c>
      <c r="B161" s="1685"/>
      <c r="C161" s="1685"/>
      <c r="D161" s="1685"/>
      <c r="E161" s="1685"/>
      <c r="F161" s="1685"/>
      <c r="G161" s="1685"/>
      <c r="H161" s="1685"/>
      <c r="I161" s="1685"/>
      <c r="J161" s="1685"/>
      <c r="K161" s="1685"/>
      <c r="L161" s="1685"/>
      <c r="M161" s="1159"/>
    </row>
    <row r="162" spans="1:13" ht="36" customHeight="1" x14ac:dyDescent="0.25">
      <c r="A162" s="1705" t="s">
        <v>58</v>
      </c>
      <c r="B162" s="1705"/>
      <c r="C162" s="1705"/>
      <c r="D162" s="1705"/>
      <c r="E162" s="1705"/>
      <c r="F162" s="1705"/>
      <c r="G162" s="1705"/>
      <c r="H162" s="1705"/>
      <c r="I162" s="1705"/>
      <c r="J162" s="1705"/>
      <c r="K162" s="1160"/>
      <c r="L162" s="1161"/>
      <c r="M162" s="1097"/>
    </row>
    <row r="163" spans="1:13" ht="9.9499999999999993" customHeight="1" x14ac:dyDescent="0.25">
      <c r="A163" s="1156"/>
      <c r="B163" s="1156"/>
      <c r="C163" s="1156"/>
      <c r="D163" s="1156"/>
      <c r="E163" s="1156"/>
      <c r="F163" s="1156"/>
      <c r="G163" s="1156"/>
      <c r="H163" s="1156"/>
      <c r="I163" s="1156"/>
      <c r="J163" s="1156"/>
      <c r="K163" s="1160"/>
      <c r="L163" s="1161"/>
      <c r="M163" s="1097"/>
    </row>
    <row r="164" spans="1:13" ht="20.100000000000001" customHeight="1" x14ac:dyDescent="0.25">
      <c r="A164" s="1705" t="s">
        <v>570</v>
      </c>
      <c r="B164" s="1705"/>
      <c r="C164" s="1705"/>
      <c r="D164" s="1705"/>
      <c r="E164" s="1705"/>
      <c r="F164" s="1705"/>
      <c r="G164" s="1705"/>
      <c r="H164" s="1705"/>
      <c r="I164" s="1705"/>
      <c r="J164" s="1705"/>
      <c r="K164" s="1160"/>
      <c r="L164" s="1161"/>
      <c r="M164" s="1097"/>
    </row>
    <row r="165" spans="1:13" ht="24" customHeight="1" x14ac:dyDescent="0.25">
      <c r="A165" s="1685">
        <f>'RT03-F11'!P38</f>
        <v>0</v>
      </c>
      <c r="B165" s="1685"/>
      <c r="C165" s="1685"/>
      <c r="D165" s="1685"/>
      <c r="E165" s="1685"/>
      <c r="F165" s="1685"/>
      <c r="G165" s="1685"/>
      <c r="H165" s="1685"/>
      <c r="I165" s="1685"/>
      <c r="J165" s="1156"/>
      <c r="K165" s="1160"/>
      <c r="L165" s="1161"/>
      <c r="M165" s="1097"/>
    </row>
    <row r="166" spans="1:13" ht="15" customHeight="1" x14ac:dyDescent="0.25">
      <c r="A166" s="1705" t="s">
        <v>466</v>
      </c>
      <c r="B166" s="1705"/>
      <c r="C166" s="1705"/>
      <c r="D166" s="1705"/>
      <c r="E166" s="1705"/>
      <c r="F166" s="1705"/>
      <c r="G166" s="1705"/>
      <c r="H166" s="1705"/>
      <c r="I166" s="1705"/>
      <c r="J166" s="1705"/>
      <c r="K166" s="1162"/>
      <c r="L166" s="1162"/>
      <c r="M166" s="1093"/>
    </row>
    <row r="167" spans="1:13" ht="9.9499999999999993" customHeight="1" x14ac:dyDescent="0.25">
      <c r="A167" s="1163"/>
      <c r="B167" s="1163"/>
      <c r="C167" s="1163"/>
      <c r="D167" s="1163"/>
      <c r="E167" s="1163"/>
      <c r="F167" s="1163"/>
      <c r="G167" s="1163"/>
      <c r="H167" s="1163"/>
      <c r="I167" s="1163"/>
      <c r="J167" s="1163"/>
      <c r="K167" s="1095"/>
      <c r="L167" s="1095"/>
    </row>
    <row r="168" spans="1:13" ht="30" customHeight="1" x14ac:dyDescent="0.25">
      <c r="A168" s="1685" t="s">
        <v>483</v>
      </c>
      <c r="B168" s="1685"/>
      <c r="C168" s="1685"/>
      <c r="D168" s="1685"/>
      <c r="E168" s="1685"/>
      <c r="F168" s="1685"/>
      <c r="G168" s="1685"/>
      <c r="H168" s="1685"/>
      <c r="I168" s="1685"/>
      <c r="J168" s="1685"/>
      <c r="K168" s="1095"/>
      <c r="L168" s="1095"/>
    </row>
    <row r="169" spans="1:13" ht="9.9499999999999993" customHeight="1" x14ac:dyDescent="0.25">
      <c r="A169" s="1160"/>
      <c r="B169" s="1160"/>
      <c r="C169" s="1160"/>
      <c r="D169" s="1160"/>
      <c r="E169" s="1160"/>
      <c r="F169" s="1160"/>
      <c r="G169" s="1160"/>
      <c r="H169" s="1160"/>
      <c r="I169" s="1160"/>
      <c r="J169" s="1160"/>
      <c r="K169" s="1095"/>
      <c r="L169" s="1095"/>
    </row>
    <row r="170" spans="1:13" ht="15" customHeight="1" x14ac:dyDescent="0.25">
      <c r="A170" s="1685" t="s">
        <v>565</v>
      </c>
      <c r="B170" s="1685"/>
      <c r="C170" s="1685"/>
      <c r="D170" s="1685"/>
      <c r="E170" s="1685"/>
      <c r="F170" s="1685"/>
      <c r="G170" s="1685"/>
      <c r="H170" s="1685"/>
      <c r="I170" s="1160"/>
      <c r="J170" s="1160"/>
      <c r="K170" s="1095"/>
      <c r="L170" s="1095"/>
    </row>
    <row r="171" spans="1:13" ht="15" customHeight="1" x14ac:dyDescent="0.3">
      <c r="A171" s="1759"/>
      <c r="B171" s="1759"/>
      <c r="C171" s="1759"/>
      <c r="D171" s="1759"/>
      <c r="E171" s="1759"/>
      <c r="F171" s="1759"/>
      <c r="G171" s="1760"/>
      <c r="H171" s="1095"/>
      <c r="I171" s="1095"/>
      <c r="J171" s="1095"/>
      <c r="K171" s="1095"/>
      <c r="L171" s="1095"/>
    </row>
    <row r="172" spans="1:13" ht="15" customHeight="1" x14ac:dyDescent="0.25"/>
    <row r="173" spans="1:13" ht="15" customHeight="1" x14ac:dyDescent="0.25">
      <c r="A173" s="1751" t="s">
        <v>36</v>
      </c>
      <c r="B173" s="1751"/>
      <c r="C173" s="1751"/>
      <c r="D173" s="1751"/>
    </row>
    <row r="174" spans="1:13" ht="15" customHeight="1" x14ac:dyDescent="0.25"/>
    <row r="175" spans="1:13" ht="15" customHeight="1" x14ac:dyDescent="0.25"/>
    <row r="176" spans="1:13" ht="15" customHeight="1" x14ac:dyDescent="0.25">
      <c r="A176" s="1164"/>
      <c r="B176" s="1142" t="s">
        <v>37</v>
      </c>
      <c r="C176" s="1142"/>
      <c r="D176" s="1142"/>
      <c r="E176" s="1142"/>
      <c r="G176" s="1706" t="s">
        <v>37</v>
      </c>
      <c r="H176" s="1706"/>
      <c r="I176" s="1706"/>
    </row>
    <row r="177" spans="2:10" ht="30" customHeight="1" x14ac:dyDescent="0.25">
      <c r="B177" s="1706" t="s">
        <v>38</v>
      </c>
      <c r="C177" s="1706"/>
      <c r="D177" s="1706"/>
      <c r="E177" s="1706"/>
      <c r="F177" s="1165"/>
      <c r="G177" s="1706" t="s">
        <v>39</v>
      </c>
      <c r="H177" s="1706"/>
      <c r="I177" s="1706"/>
      <c r="J177" s="1165"/>
    </row>
    <row r="178" spans="2:10" x14ac:dyDescent="0.25">
      <c r="B178" s="1761" t="e">
        <f>VLOOKUP(F177,DATOS!O5:R9,4,FALSE)</f>
        <v>#N/A</v>
      </c>
      <c r="C178" s="1761"/>
      <c r="D178" s="1761"/>
      <c r="E178" s="1761"/>
      <c r="F178" s="1166"/>
      <c r="G178" s="1706" t="s">
        <v>349</v>
      </c>
      <c r="H178" s="1706"/>
      <c r="I178" s="1706"/>
      <c r="J178" s="1142"/>
    </row>
    <row r="179" spans="2:10" x14ac:dyDescent="0.25">
      <c r="B179" s="1751" t="e">
        <f>VLOOKUP(F177,DATOS!O5:R9,2,FALSE)</f>
        <v>#N/A</v>
      </c>
      <c r="C179" s="1751"/>
      <c r="D179" s="1751"/>
      <c r="E179" s="1751"/>
      <c r="F179" s="1164"/>
      <c r="G179" s="1751" t="e">
        <f>VLOOKUP(J177,DATOS!O5:R9,2,FALSE)</f>
        <v>#N/A</v>
      </c>
      <c r="H179" s="1751"/>
      <c r="I179" s="1751"/>
      <c r="J179" s="1164"/>
    </row>
    <row r="181" spans="2:10" x14ac:dyDescent="0.25">
      <c r="B181" s="1688" t="s">
        <v>40</v>
      </c>
      <c r="C181" s="1688"/>
      <c r="D181" s="1688"/>
      <c r="E181" s="1758"/>
      <c r="F181" s="1758"/>
    </row>
    <row r="182" spans="2:10" x14ac:dyDescent="0.25">
      <c r="B182" s="1714" t="s">
        <v>350</v>
      </c>
      <c r="C182" s="1714"/>
      <c r="D182" s="1714"/>
      <c r="E182" s="1714"/>
      <c r="F182" s="1714"/>
      <c r="G182" s="1714"/>
      <c r="H182" s="1714"/>
      <c r="I182" s="1714"/>
    </row>
  </sheetData>
  <sheetProtection algorithmName="SHA-512" hashValue="ZOu2yP27cqcdjZQOc3WEiLIUaGQ0I2iRZ2P4k99AzmPoEQsuuP1b3RWl4euUFq0C+DjDH7PiQTMZMzs7Gou/UA==" saltValue="f/xRXEdNFiBBnHHtdpzGkg==" spinCount="100000" sheet="1" objects="1" scenarios="1"/>
  <mergeCells count="138">
    <mergeCell ref="A154:J154"/>
    <mergeCell ref="A156:J156"/>
    <mergeCell ref="A158:J158"/>
    <mergeCell ref="A162:J162"/>
    <mergeCell ref="A164:J164"/>
    <mergeCell ref="A141:E141"/>
    <mergeCell ref="A143:J143"/>
    <mergeCell ref="A150:J150"/>
    <mergeCell ref="A152:H152"/>
    <mergeCell ref="I152:J152"/>
    <mergeCell ref="A148:F148"/>
    <mergeCell ref="B181:D181"/>
    <mergeCell ref="E181:F181"/>
    <mergeCell ref="B182:I182"/>
    <mergeCell ref="B179:E179"/>
    <mergeCell ref="G179:I179"/>
    <mergeCell ref="A166:J166"/>
    <mergeCell ref="A171:G171"/>
    <mergeCell ref="A173:D173"/>
    <mergeCell ref="G176:I176"/>
    <mergeCell ref="B177:E177"/>
    <mergeCell ref="G177:I177"/>
    <mergeCell ref="G178:I178"/>
    <mergeCell ref="B178:E178"/>
    <mergeCell ref="A168:J168"/>
    <mergeCell ref="A170:H170"/>
    <mergeCell ref="A139:E139"/>
    <mergeCell ref="I139:J139"/>
    <mergeCell ref="C127:D127"/>
    <mergeCell ref="C129:D129"/>
    <mergeCell ref="C128:D128"/>
    <mergeCell ref="A121:H121"/>
    <mergeCell ref="I121:J121"/>
    <mergeCell ref="A123:E123"/>
    <mergeCell ref="A125:I125"/>
    <mergeCell ref="A119:C119"/>
    <mergeCell ref="D119:E119"/>
    <mergeCell ref="G119:H119"/>
    <mergeCell ref="I119:J119"/>
    <mergeCell ref="A120:C120"/>
    <mergeCell ref="D120:E120"/>
    <mergeCell ref="G120:H120"/>
    <mergeCell ref="I120:J120"/>
    <mergeCell ref="A117:C117"/>
    <mergeCell ref="D117:E117"/>
    <mergeCell ref="G117:H117"/>
    <mergeCell ref="I117:J117"/>
    <mergeCell ref="A118:C118"/>
    <mergeCell ref="D118:E118"/>
    <mergeCell ref="G118:H118"/>
    <mergeCell ref="I118:J118"/>
    <mergeCell ref="A108:E108"/>
    <mergeCell ref="A112:E112"/>
    <mergeCell ref="A114:J114"/>
    <mergeCell ref="A116:C116"/>
    <mergeCell ref="D116:E116"/>
    <mergeCell ref="G116:H116"/>
    <mergeCell ref="I116:J116"/>
    <mergeCell ref="A103:J103"/>
    <mergeCell ref="B105:C105"/>
    <mergeCell ref="D105:F105"/>
    <mergeCell ref="G105:I105"/>
    <mergeCell ref="B106:C106"/>
    <mergeCell ref="D106:F106"/>
    <mergeCell ref="G106:I106"/>
    <mergeCell ref="A110:I111"/>
    <mergeCell ref="A95:J100"/>
    <mergeCell ref="A101:E101"/>
    <mergeCell ref="I101:J101"/>
    <mergeCell ref="C73:J74"/>
    <mergeCell ref="C76:J76"/>
    <mergeCell ref="C78:J78"/>
    <mergeCell ref="C80:J80"/>
    <mergeCell ref="C82:J82"/>
    <mergeCell ref="C84:J84"/>
    <mergeCell ref="C86:H86"/>
    <mergeCell ref="C88:H88"/>
    <mergeCell ref="C90:H90"/>
    <mergeCell ref="C71:J71"/>
    <mergeCell ref="A41:C41"/>
    <mergeCell ref="A48:J52"/>
    <mergeCell ref="A1:K5"/>
    <mergeCell ref="A8:B8"/>
    <mergeCell ref="A9:B9"/>
    <mergeCell ref="D9:F9"/>
    <mergeCell ref="D8:F8"/>
    <mergeCell ref="A23:D23"/>
    <mergeCell ref="E23:F23"/>
    <mergeCell ref="A13:B13"/>
    <mergeCell ref="D13:F13"/>
    <mergeCell ref="A16:C16"/>
    <mergeCell ref="D16:H16"/>
    <mergeCell ref="A17:C17"/>
    <mergeCell ref="D17:G17"/>
    <mergeCell ref="A10:B10"/>
    <mergeCell ref="D10:G10"/>
    <mergeCell ref="A12:C12"/>
    <mergeCell ref="G23:I23"/>
    <mergeCell ref="K23:M23"/>
    <mergeCell ref="A6:D6"/>
    <mergeCell ref="A26:J27"/>
    <mergeCell ref="A28:J28"/>
    <mergeCell ref="A64:B64"/>
    <mergeCell ref="A29:J29"/>
    <mergeCell ref="A31:G31"/>
    <mergeCell ref="D12:E12"/>
    <mergeCell ref="F12:G12"/>
    <mergeCell ref="H12:J12"/>
    <mergeCell ref="A18:C18"/>
    <mergeCell ref="D18:G18"/>
    <mergeCell ref="A20:K20"/>
    <mergeCell ref="A14:F14"/>
    <mergeCell ref="A21:D21"/>
    <mergeCell ref="E21:F21"/>
    <mergeCell ref="C68:J69"/>
    <mergeCell ref="I6:J6"/>
    <mergeCell ref="I59:J59"/>
    <mergeCell ref="A145:G145"/>
    <mergeCell ref="A165:I165"/>
    <mergeCell ref="A160:L160"/>
    <mergeCell ref="A161:L161"/>
    <mergeCell ref="A33:I33"/>
    <mergeCell ref="A35:J35"/>
    <mergeCell ref="A37:C37"/>
    <mergeCell ref="E37:G37"/>
    <mergeCell ref="E41:G41"/>
    <mergeCell ref="A42:C42"/>
    <mergeCell ref="A43:D43"/>
    <mergeCell ref="E43:G43"/>
    <mergeCell ref="A44:C44"/>
    <mergeCell ref="E44:I44"/>
    <mergeCell ref="A38:D38"/>
    <mergeCell ref="E38:G38"/>
    <mergeCell ref="A39:C39"/>
    <mergeCell ref="E39:G39"/>
    <mergeCell ref="A40:D40"/>
    <mergeCell ref="E40:H40"/>
    <mergeCell ref="A46:H46"/>
  </mergeCells>
  <pageMargins left="0.70866141732283472" right="0.70866141732283472" top="0.74803149606299213" bottom="0.74803149606299213" header="0.31496062992125984" footer="0.31496062992125984"/>
  <pageSetup scale="81" orientation="portrait" horizontalDpi="4294967293" r:id="rId1"/>
  <headerFooter>
    <oddHeader>&amp;C
&amp;"Arial,Negrita"&amp;14CERTIFICADO DE CALIBRACIÓN DE
 RECIPIENTES VOLUMÉTRICOS</oddHeader>
    <oddFooter xml:space="preserve">&amp;RRT03-F14 Vr. 3(2018-08-06)
&amp;P de 4 </oddFooter>
  </headerFooter>
  <rowBreaks count="2" manualBreakCount="2">
    <brk id="98" max="16383" man="1"/>
    <brk id="137" max="16383" man="1"/>
  </rowBreaks>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1" operator="containsText" id="{3D4A6520-9655-4425-85F5-EDE05C527B4C}">
            <xm:f>NOT(ISERROR(SEARCH($F$133,F139)))</xm:f>
            <xm:f>$F$133</xm:f>
            <x14:dxf>
              <font>
                <b/>
                <i val="0"/>
              </font>
            </x14:dxf>
          </x14:cfRule>
          <x14:cfRule type="containsText" priority="12" stopIfTrue="1" operator="containsText" id="{10145571-340A-42E6-A73D-51EBE00510D1}">
            <xm:f>NOT(ISERROR(SEARCH($F$133,F139)))</xm:f>
            <xm:f>$F$133</xm:f>
            <x14:dxf>
              <font>
                <b/>
                <i val="0"/>
                <color auto="1"/>
              </font>
              <fill>
                <patternFill>
                  <bgColor rgb="FFFFC7CE"/>
                </patternFill>
              </fill>
            </x14:dxf>
          </x14:cfRule>
          <xm:sqref>F139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DATOS!$O$5:$O$7</xm:f>
          </x14:formula1>
          <xm:sqref>F177</xm:sqref>
        </x14:dataValidation>
        <x14:dataValidation type="list" allowBlank="1" showInputMessage="1" showErrorMessage="1">
          <x14:formula1>
            <xm:f>DATOS!$O$5:$O$9</xm:f>
          </x14:formula1>
          <xm:sqref>J177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15</vt:i4>
      </vt:variant>
    </vt:vector>
  </HeadingPairs>
  <TitlesOfParts>
    <vt:vector size="21" baseType="lpstr">
      <vt:lpstr>DATOS 1</vt:lpstr>
      <vt:lpstr>DATOS</vt:lpstr>
      <vt:lpstr>RT03-F11</vt:lpstr>
      <vt:lpstr>CALIBRACIÓN DESPUES DE AJUSTE</vt:lpstr>
      <vt:lpstr>VERIFICACIÓN DE LA ESCALA</vt:lpstr>
      <vt:lpstr>RT03-F14</vt:lpstr>
      <vt:lpstr>'CALIBRACIÓN DESPUES DE AJUSTE'!Área_de_impresión</vt:lpstr>
      <vt:lpstr>DATOS!Área_de_impresión</vt:lpstr>
      <vt:lpstr>'RT03-F14'!Área_de_impresión</vt:lpstr>
      <vt:lpstr>'VERIFICACIÓN DE LA ESCALA'!Área_de_impresión</vt:lpstr>
      <vt:lpstr>'CALIBRACIÓN DESPUES DE AJUSTE'!Print_Area</vt:lpstr>
      <vt:lpstr>DATOS!Print_Area</vt:lpstr>
      <vt:lpstr>'DATOS 1'!Print_Area</vt:lpstr>
      <vt:lpstr>'RT03-F11'!Print_Area</vt:lpstr>
      <vt:lpstr>'RT03-F14'!Print_Area</vt:lpstr>
      <vt:lpstr>'VERIFICACIÓN DE LA ESCALA'!Print_Area</vt:lpstr>
      <vt:lpstr>'CALIBRACIÓN DESPUES DE AJUSTE'!Print_Titles</vt:lpstr>
      <vt:lpstr>DATOS!Print_Titles</vt:lpstr>
      <vt:lpstr>'DATOS 1'!Print_Titles</vt:lpstr>
      <vt:lpstr>'RT03-F11'!Print_Titles</vt:lpstr>
      <vt:lpstr>'VERIFICACIÓN DE LA ESCALA'!Print_Titles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Jose Vargas</dc:creator>
  <cp:lastModifiedBy>Yenny Hernandez</cp:lastModifiedBy>
  <cp:lastPrinted>2018-08-06T21:01:44Z</cp:lastPrinted>
  <dcterms:created xsi:type="dcterms:W3CDTF">2015-11-06T23:47:29Z</dcterms:created>
  <dcterms:modified xsi:type="dcterms:W3CDTF">2018-08-06T21:01:52Z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722878</vt:i4>
  </property>
</Properties>
</file>